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ajlbc-my.sharepoint.com/personal/pavlina_koderova_kraj-lbc_cz/Documents/Plocha 1/web/obsah/Neziskové organizace/"/>
    </mc:Choice>
  </mc:AlternateContent>
  <xr:revisionPtr revIDLastSave="0" documentId="8_{26398D07-5619-4498-9451-D085154A79C2}" xr6:coauthVersionLast="47" xr6:coauthVersionMax="47" xr10:uidLastSave="{00000000-0000-0000-0000-000000000000}"/>
  <bookViews>
    <workbookView xWindow="28680" yWindow="-120" windowWidth="25440" windowHeight="15270"/>
  </bookViews>
  <sheets>
    <sheet name="res_export_2025-05-19-142316" sheetId="1" r:id="rId1"/>
  </sheets>
  <calcPr calcId="0"/>
</workbook>
</file>

<file path=xl/calcChain.xml><?xml version="1.0" encoding="utf-8"?>
<calcChain xmlns="http://schemas.openxmlformats.org/spreadsheetml/2006/main">
  <c r="A2" i="1" l="1"/>
  <c r="D2" i="1"/>
  <c r="A3" i="1"/>
  <c r="D3" i="1"/>
  <c r="A4" i="1"/>
  <c r="D4" i="1"/>
  <c r="A5" i="1"/>
  <c r="D5" i="1"/>
  <c r="A6" i="1"/>
  <c r="D6" i="1"/>
  <c r="A7" i="1"/>
  <c r="D7" i="1"/>
  <c r="A8" i="1"/>
  <c r="D8" i="1"/>
  <c r="A9" i="1"/>
  <c r="D9" i="1"/>
  <c r="A10" i="1"/>
  <c r="D10" i="1"/>
  <c r="A11" i="1"/>
  <c r="D11" i="1"/>
  <c r="A12" i="1"/>
  <c r="D12" i="1"/>
  <c r="A13" i="1"/>
  <c r="D13" i="1"/>
  <c r="A14" i="1"/>
  <c r="D14" i="1"/>
  <c r="A15" i="1"/>
  <c r="D15" i="1"/>
  <c r="A16" i="1"/>
  <c r="D16" i="1"/>
  <c r="A17" i="1"/>
  <c r="D17" i="1"/>
  <c r="A18" i="1"/>
  <c r="D18" i="1"/>
  <c r="A19" i="1"/>
  <c r="D19" i="1"/>
  <c r="A20" i="1"/>
  <c r="D20" i="1"/>
  <c r="A21" i="1"/>
  <c r="D21" i="1"/>
  <c r="A22" i="1"/>
  <c r="D22" i="1"/>
  <c r="A23" i="1"/>
  <c r="D23" i="1"/>
  <c r="A24" i="1"/>
  <c r="D24" i="1"/>
  <c r="A25" i="1"/>
  <c r="D25" i="1"/>
  <c r="A26" i="1"/>
  <c r="D26" i="1"/>
  <c r="A27" i="1"/>
  <c r="D27" i="1"/>
  <c r="A28" i="1"/>
  <c r="D28" i="1"/>
  <c r="A29" i="1"/>
  <c r="D29" i="1"/>
  <c r="A30" i="1"/>
  <c r="D30" i="1"/>
  <c r="A31" i="1"/>
  <c r="D31" i="1"/>
  <c r="A32" i="1"/>
  <c r="D32" i="1"/>
  <c r="A33" i="1"/>
  <c r="D33" i="1"/>
  <c r="A34" i="1"/>
  <c r="D34" i="1"/>
  <c r="A35" i="1"/>
  <c r="D35" i="1"/>
  <c r="A36" i="1"/>
  <c r="D36" i="1"/>
  <c r="A37" i="1"/>
  <c r="D37" i="1"/>
  <c r="A38" i="1"/>
  <c r="D38" i="1"/>
  <c r="A39" i="1"/>
  <c r="D39" i="1"/>
  <c r="A40" i="1"/>
  <c r="D40" i="1"/>
  <c r="A41" i="1"/>
  <c r="D41" i="1"/>
  <c r="A42" i="1"/>
  <c r="D42" i="1"/>
  <c r="A43" i="1"/>
  <c r="D43" i="1"/>
  <c r="A44" i="1"/>
  <c r="D44" i="1"/>
  <c r="A45" i="1"/>
  <c r="D45" i="1"/>
  <c r="A46" i="1"/>
  <c r="D46" i="1"/>
  <c r="A47" i="1"/>
  <c r="D47" i="1"/>
  <c r="A48" i="1"/>
  <c r="D48" i="1"/>
  <c r="A49" i="1"/>
  <c r="D49" i="1"/>
  <c r="A50" i="1"/>
  <c r="D50" i="1"/>
  <c r="A51" i="1"/>
  <c r="D51" i="1"/>
  <c r="A52" i="1"/>
  <c r="D52" i="1"/>
  <c r="A53" i="1"/>
  <c r="D53" i="1"/>
  <c r="A54" i="1"/>
  <c r="D54" i="1"/>
  <c r="A55" i="1"/>
  <c r="D55" i="1"/>
  <c r="A56" i="1"/>
  <c r="D56" i="1"/>
  <c r="A57" i="1"/>
  <c r="D57" i="1"/>
  <c r="A58" i="1"/>
  <c r="D58" i="1"/>
  <c r="A59" i="1"/>
  <c r="D59" i="1"/>
  <c r="A60" i="1"/>
  <c r="D60" i="1"/>
  <c r="A61" i="1"/>
  <c r="D61" i="1"/>
  <c r="A62" i="1"/>
  <c r="D62" i="1"/>
  <c r="A63" i="1"/>
  <c r="D63" i="1"/>
  <c r="A64" i="1"/>
  <c r="D64" i="1"/>
  <c r="A65" i="1"/>
  <c r="D65" i="1"/>
  <c r="A66" i="1"/>
  <c r="D66" i="1"/>
  <c r="A67" i="1"/>
  <c r="D67" i="1"/>
  <c r="A68" i="1"/>
  <c r="D68" i="1"/>
  <c r="A69" i="1"/>
  <c r="D69" i="1"/>
  <c r="A70" i="1"/>
  <c r="D70" i="1"/>
  <c r="A71" i="1"/>
  <c r="D71" i="1"/>
  <c r="A72" i="1"/>
  <c r="D72" i="1"/>
  <c r="A73" i="1"/>
  <c r="D73" i="1"/>
  <c r="A74" i="1"/>
  <c r="D74" i="1"/>
  <c r="A75" i="1"/>
  <c r="D75" i="1"/>
  <c r="A76" i="1"/>
  <c r="D76" i="1"/>
  <c r="A77" i="1"/>
  <c r="D77" i="1"/>
  <c r="A78" i="1"/>
  <c r="D78" i="1"/>
  <c r="A79" i="1"/>
  <c r="D79" i="1"/>
  <c r="A80" i="1"/>
  <c r="D80" i="1"/>
  <c r="A81" i="1"/>
  <c r="D81" i="1"/>
  <c r="A82" i="1"/>
  <c r="D82" i="1"/>
  <c r="A83" i="1"/>
  <c r="D83" i="1"/>
  <c r="A84" i="1"/>
  <c r="D84" i="1"/>
  <c r="A85" i="1"/>
  <c r="D85" i="1"/>
  <c r="A86" i="1"/>
  <c r="D86" i="1"/>
  <c r="A87" i="1"/>
  <c r="D87" i="1"/>
  <c r="A88" i="1"/>
  <c r="D88" i="1"/>
  <c r="A89" i="1"/>
  <c r="D89" i="1"/>
  <c r="A90" i="1"/>
  <c r="D90" i="1"/>
  <c r="A91" i="1"/>
  <c r="D91" i="1"/>
  <c r="A92" i="1"/>
  <c r="D92" i="1"/>
  <c r="A93" i="1"/>
  <c r="D93" i="1"/>
  <c r="A94" i="1"/>
  <c r="D94" i="1"/>
  <c r="A95" i="1"/>
  <c r="D95" i="1"/>
  <c r="A96" i="1"/>
  <c r="D96" i="1"/>
  <c r="A97" i="1"/>
  <c r="D97" i="1"/>
  <c r="A98" i="1"/>
  <c r="D98" i="1"/>
  <c r="A99" i="1"/>
  <c r="D99" i="1"/>
  <c r="A100" i="1"/>
  <c r="D100" i="1"/>
  <c r="A101" i="1"/>
  <c r="D101" i="1"/>
  <c r="A102" i="1"/>
  <c r="D102" i="1"/>
  <c r="A103" i="1"/>
  <c r="D103" i="1"/>
  <c r="A104" i="1"/>
  <c r="D104" i="1"/>
  <c r="A105" i="1"/>
  <c r="D105" i="1"/>
  <c r="A106" i="1"/>
  <c r="D106" i="1"/>
  <c r="A107" i="1"/>
  <c r="D107" i="1"/>
  <c r="A108" i="1"/>
  <c r="D108" i="1"/>
  <c r="A109" i="1"/>
  <c r="D109" i="1"/>
  <c r="A110" i="1"/>
  <c r="D110" i="1"/>
  <c r="A111" i="1"/>
  <c r="D111" i="1"/>
  <c r="A112" i="1"/>
  <c r="D112" i="1"/>
  <c r="A113" i="1"/>
  <c r="D113" i="1"/>
  <c r="A114" i="1"/>
  <c r="D114" i="1"/>
  <c r="A115" i="1"/>
  <c r="D115" i="1"/>
  <c r="A116" i="1"/>
  <c r="D116" i="1"/>
  <c r="A117" i="1"/>
  <c r="D117" i="1"/>
  <c r="A118" i="1"/>
  <c r="D118" i="1"/>
  <c r="A119" i="1"/>
  <c r="D119" i="1"/>
  <c r="A120" i="1"/>
  <c r="D120" i="1"/>
  <c r="A121" i="1"/>
  <c r="D121" i="1"/>
  <c r="A122" i="1"/>
  <c r="D122" i="1"/>
  <c r="A123" i="1"/>
  <c r="D123" i="1"/>
  <c r="A124" i="1"/>
  <c r="D124" i="1"/>
  <c r="A125" i="1"/>
  <c r="D125" i="1"/>
  <c r="A126" i="1"/>
  <c r="D126" i="1"/>
  <c r="A127" i="1"/>
  <c r="D127" i="1"/>
  <c r="A128" i="1"/>
  <c r="D128" i="1"/>
  <c r="A129" i="1"/>
  <c r="D129" i="1"/>
  <c r="A130" i="1"/>
  <c r="D130" i="1"/>
  <c r="A131" i="1"/>
  <c r="D131" i="1"/>
  <c r="A132" i="1"/>
  <c r="D132" i="1"/>
  <c r="A133" i="1"/>
  <c r="D133" i="1"/>
  <c r="A134" i="1"/>
  <c r="D134" i="1"/>
  <c r="A135" i="1"/>
  <c r="D135" i="1"/>
  <c r="A136" i="1"/>
  <c r="D136" i="1"/>
  <c r="A137" i="1"/>
  <c r="D137" i="1"/>
  <c r="A138" i="1"/>
  <c r="D138" i="1"/>
  <c r="A139" i="1"/>
  <c r="D139" i="1"/>
  <c r="A140" i="1"/>
  <c r="D140" i="1"/>
  <c r="A141" i="1"/>
  <c r="D141" i="1"/>
  <c r="A142" i="1"/>
  <c r="D142" i="1"/>
  <c r="A143" i="1"/>
  <c r="D143" i="1"/>
  <c r="A144" i="1"/>
  <c r="D144" i="1"/>
  <c r="A145" i="1"/>
  <c r="D145" i="1"/>
  <c r="A146" i="1"/>
  <c r="D146" i="1"/>
  <c r="A147" i="1"/>
  <c r="D147" i="1"/>
  <c r="A148" i="1"/>
  <c r="D148" i="1"/>
  <c r="A149" i="1"/>
  <c r="D149" i="1"/>
  <c r="A150" i="1"/>
  <c r="D150" i="1"/>
  <c r="A151" i="1"/>
  <c r="D151" i="1"/>
  <c r="A152" i="1"/>
  <c r="D152" i="1"/>
  <c r="A153" i="1"/>
  <c r="D153" i="1"/>
  <c r="A154" i="1"/>
  <c r="D154" i="1"/>
  <c r="A155" i="1"/>
  <c r="D155" i="1"/>
  <c r="A156" i="1"/>
  <c r="D156" i="1"/>
  <c r="A157" i="1"/>
  <c r="D157" i="1"/>
  <c r="A158" i="1"/>
  <c r="D158" i="1"/>
  <c r="A159" i="1"/>
  <c r="D159" i="1"/>
  <c r="A160" i="1"/>
  <c r="D160" i="1"/>
  <c r="A161" i="1"/>
  <c r="D161" i="1"/>
  <c r="A162" i="1"/>
  <c r="D162" i="1"/>
  <c r="A163" i="1"/>
  <c r="D163" i="1"/>
  <c r="A164" i="1"/>
  <c r="D164" i="1"/>
  <c r="A165" i="1"/>
  <c r="D165" i="1"/>
  <c r="A166" i="1"/>
  <c r="D166" i="1"/>
  <c r="A167" i="1"/>
  <c r="D167" i="1"/>
  <c r="A168" i="1"/>
  <c r="D168" i="1"/>
  <c r="A169" i="1"/>
  <c r="D169" i="1"/>
  <c r="A170" i="1"/>
  <c r="D170" i="1"/>
  <c r="A171" i="1"/>
  <c r="D171" i="1"/>
  <c r="A172" i="1"/>
  <c r="D172" i="1"/>
  <c r="A173" i="1"/>
  <c r="D173" i="1"/>
  <c r="A174" i="1"/>
  <c r="D174" i="1"/>
  <c r="A175" i="1"/>
  <c r="D175" i="1"/>
  <c r="A176" i="1"/>
  <c r="D176" i="1"/>
  <c r="A177" i="1"/>
  <c r="D177" i="1"/>
  <c r="A178" i="1"/>
  <c r="D178" i="1"/>
  <c r="A179" i="1"/>
  <c r="D179" i="1"/>
  <c r="A180" i="1"/>
  <c r="D180" i="1"/>
  <c r="A181" i="1"/>
  <c r="D181" i="1"/>
  <c r="A182" i="1"/>
  <c r="D182" i="1"/>
  <c r="A183" i="1"/>
  <c r="D183" i="1"/>
  <c r="A184" i="1"/>
  <c r="D184" i="1"/>
  <c r="A185" i="1"/>
  <c r="D185" i="1"/>
  <c r="A186" i="1"/>
  <c r="D186" i="1"/>
  <c r="A187" i="1"/>
  <c r="D187" i="1"/>
  <c r="A188" i="1"/>
  <c r="D188" i="1"/>
  <c r="A189" i="1"/>
  <c r="D189" i="1"/>
  <c r="A190" i="1"/>
  <c r="D190" i="1"/>
  <c r="A191" i="1"/>
  <c r="D191" i="1"/>
  <c r="A192" i="1"/>
  <c r="D192" i="1"/>
  <c r="A193" i="1"/>
  <c r="D193" i="1"/>
  <c r="A194" i="1"/>
  <c r="D194" i="1"/>
  <c r="A195" i="1"/>
  <c r="D195" i="1"/>
  <c r="A196" i="1"/>
  <c r="D196" i="1"/>
  <c r="A197" i="1"/>
  <c r="D197" i="1"/>
  <c r="A198" i="1"/>
  <c r="D198" i="1"/>
  <c r="A199" i="1"/>
  <c r="D199" i="1"/>
  <c r="A200" i="1"/>
  <c r="D200" i="1"/>
  <c r="A201" i="1"/>
  <c r="D201" i="1"/>
  <c r="A202" i="1"/>
  <c r="D202" i="1"/>
  <c r="A203" i="1"/>
  <c r="D203" i="1"/>
  <c r="A204" i="1"/>
  <c r="D204" i="1"/>
  <c r="A205" i="1"/>
  <c r="D205" i="1"/>
  <c r="A206" i="1"/>
  <c r="D206" i="1"/>
  <c r="A207" i="1"/>
  <c r="D207" i="1"/>
  <c r="A208" i="1"/>
  <c r="D208" i="1"/>
  <c r="A209" i="1"/>
  <c r="D209" i="1"/>
  <c r="A210" i="1"/>
  <c r="D210" i="1"/>
  <c r="A211" i="1"/>
  <c r="D211" i="1"/>
  <c r="A212" i="1"/>
  <c r="D212" i="1"/>
  <c r="A213" i="1"/>
  <c r="D213" i="1"/>
  <c r="A214" i="1"/>
  <c r="D214" i="1"/>
  <c r="A215" i="1"/>
  <c r="D215" i="1"/>
  <c r="A216" i="1"/>
  <c r="D216" i="1"/>
  <c r="A217" i="1"/>
  <c r="D217" i="1"/>
  <c r="A218" i="1"/>
  <c r="D218" i="1"/>
  <c r="A219" i="1"/>
  <c r="D219" i="1"/>
  <c r="A220" i="1"/>
  <c r="D220" i="1"/>
  <c r="A221" i="1"/>
  <c r="D221" i="1"/>
  <c r="A222" i="1"/>
  <c r="D222" i="1"/>
  <c r="A223" i="1"/>
  <c r="D223" i="1"/>
  <c r="A224" i="1"/>
  <c r="D224" i="1"/>
  <c r="A225" i="1"/>
  <c r="D225" i="1"/>
  <c r="A226" i="1"/>
  <c r="D226" i="1"/>
  <c r="A227" i="1"/>
  <c r="D227" i="1"/>
  <c r="A228" i="1"/>
  <c r="D228" i="1"/>
  <c r="A229" i="1"/>
  <c r="D229" i="1"/>
  <c r="A230" i="1"/>
  <c r="D230" i="1"/>
  <c r="A231" i="1"/>
  <c r="D231" i="1"/>
  <c r="A232" i="1"/>
  <c r="D232" i="1"/>
  <c r="A233" i="1"/>
  <c r="D233" i="1"/>
  <c r="A234" i="1"/>
  <c r="D234" i="1"/>
  <c r="A235" i="1"/>
  <c r="D235" i="1"/>
  <c r="A236" i="1"/>
  <c r="D236" i="1"/>
  <c r="A237" i="1"/>
  <c r="D237" i="1"/>
  <c r="A238" i="1"/>
  <c r="D238" i="1"/>
  <c r="A239" i="1"/>
  <c r="D239" i="1"/>
  <c r="A240" i="1"/>
  <c r="D240" i="1"/>
  <c r="A241" i="1"/>
  <c r="D241" i="1"/>
  <c r="A242" i="1"/>
  <c r="D242" i="1"/>
  <c r="A243" i="1"/>
  <c r="D243" i="1"/>
  <c r="A244" i="1"/>
  <c r="D244" i="1"/>
  <c r="A245" i="1"/>
  <c r="D245" i="1"/>
  <c r="A246" i="1"/>
  <c r="D246" i="1"/>
  <c r="A247" i="1"/>
  <c r="D247" i="1"/>
  <c r="A248" i="1"/>
  <c r="D248" i="1"/>
  <c r="A249" i="1"/>
  <c r="D249" i="1"/>
  <c r="A250" i="1"/>
  <c r="D250" i="1"/>
  <c r="A251" i="1"/>
  <c r="D251" i="1"/>
  <c r="A252" i="1"/>
  <c r="D252" i="1"/>
  <c r="A253" i="1"/>
  <c r="D253" i="1"/>
  <c r="A254" i="1"/>
  <c r="D254" i="1"/>
  <c r="A255" i="1"/>
  <c r="D255" i="1"/>
  <c r="A256" i="1"/>
  <c r="D256" i="1"/>
  <c r="A257" i="1"/>
  <c r="D257" i="1"/>
  <c r="A258" i="1"/>
  <c r="D258" i="1"/>
  <c r="A259" i="1"/>
  <c r="D259" i="1"/>
  <c r="A260" i="1"/>
  <c r="D260" i="1"/>
  <c r="A261" i="1"/>
  <c r="D261" i="1"/>
  <c r="A262" i="1"/>
  <c r="D262" i="1"/>
  <c r="A263" i="1"/>
  <c r="D263" i="1"/>
  <c r="A264" i="1"/>
  <c r="D264" i="1"/>
  <c r="A265" i="1"/>
  <c r="D265" i="1"/>
  <c r="A266" i="1"/>
  <c r="D266" i="1"/>
  <c r="A267" i="1"/>
  <c r="D267" i="1"/>
  <c r="A268" i="1"/>
  <c r="D268" i="1"/>
  <c r="A269" i="1"/>
  <c r="D269" i="1"/>
  <c r="A270" i="1"/>
  <c r="D270" i="1"/>
  <c r="A271" i="1"/>
  <c r="D271" i="1"/>
  <c r="A272" i="1"/>
  <c r="D272" i="1"/>
  <c r="A273" i="1"/>
  <c r="D273" i="1"/>
  <c r="A274" i="1"/>
  <c r="D274" i="1"/>
  <c r="A275" i="1"/>
  <c r="D275" i="1"/>
  <c r="A276" i="1"/>
  <c r="D276" i="1"/>
  <c r="A277" i="1"/>
  <c r="D277" i="1"/>
  <c r="A278" i="1"/>
  <c r="D278" i="1"/>
  <c r="A279" i="1"/>
  <c r="D279" i="1"/>
  <c r="A280" i="1"/>
  <c r="D280" i="1"/>
  <c r="A281" i="1"/>
  <c r="D281" i="1"/>
  <c r="A282" i="1"/>
  <c r="D282" i="1"/>
  <c r="A283" i="1"/>
  <c r="D283" i="1"/>
  <c r="A284" i="1"/>
  <c r="D284" i="1"/>
  <c r="A285" i="1"/>
  <c r="D285" i="1"/>
  <c r="A286" i="1"/>
  <c r="D286" i="1"/>
  <c r="A287" i="1"/>
  <c r="D287" i="1"/>
  <c r="A288" i="1"/>
  <c r="D288" i="1"/>
  <c r="A289" i="1"/>
  <c r="D289" i="1"/>
  <c r="A290" i="1"/>
  <c r="D290" i="1"/>
  <c r="A291" i="1"/>
  <c r="D291" i="1"/>
  <c r="A292" i="1"/>
  <c r="D292" i="1"/>
  <c r="A293" i="1"/>
  <c r="D293" i="1"/>
  <c r="A294" i="1"/>
  <c r="D294" i="1"/>
  <c r="A295" i="1"/>
  <c r="D295" i="1"/>
  <c r="A296" i="1"/>
  <c r="D296" i="1"/>
  <c r="A297" i="1"/>
  <c r="D297" i="1"/>
  <c r="A298" i="1"/>
  <c r="D298" i="1"/>
  <c r="A299" i="1"/>
  <c r="D299" i="1"/>
  <c r="A300" i="1"/>
  <c r="D300" i="1"/>
  <c r="A301" i="1"/>
  <c r="D301" i="1"/>
  <c r="A302" i="1"/>
  <c r="D302" i="1"/>
  <c r="A303" i="1"/>
  <c r="D303" i="1"/>
  <c r="A304" i="1"/>
  <c r="D304" i="1"/>
  <c r="A305" i="1"/>
  <c r="D305" i="1"/>
  <c r="A306" i="1"/>
  <c r="D306" i="1"/>
  <c r="A307" i="1"/>
  <c r="D307" i="1"/>
  <c r="A308" i="1"/>
  <c r="D308" i="1"/>
  <c r="A309" i="1"/>
  <c r="D309" i="1"/>
  <c r="A310" i="1"/>
  <c r="D310" i="1"/>
  <c r="A311" i="1"/>
  <c r="D311" i="1"/>
  <c r="A312" i="1"/>
  <c r="D312" i="1"/>
  <c r="A313" i="1"/>
  <c r="D313" i="1"/>
  <c r="A314" i="1"/>
  <c r="D314" i="1"/>
  <c r="A315" i="1"/>
  <c r="D315" i="1"/>
  <c r="A316" i="1"/>
  <c r="D316" i="1"/>
  <c r="A317" i="1"/>
  <c r="D317" i="1"/>
  <c r="A318" i="1"/>
  <c r="D318" i="1"/>
  <c r="A319" i="1"/>
  <c r="D319" i="1"/>
  <c r="A320" i="1"/>
  <c r="D320" i="1"/>
  <c r="A321" i="1"/>
  <c r="D321" i="1"/>
  <c r="A322" i="1"/>
  <c r="D322" i="1"/>
  <c r="A323" i="1"/>
  <c r="D323" i="1"/>
  <c r="A324" i="1"/>
  <c r="D324" i="1"/>
  <c r="A325" i="1"/>
  <c r="D325" i="1"/>
  <c r="A326" i="1"/>
  <c r="D326" i="1"/>
  <c r="A327" i="1"/>
  <c r="D327" i="1"/>
  <c r="A328" i="1"/>
  <c r="D328" i="1"/>
  <c r="A329" i="1"/>
  <c r="D329" i="1"/>
  <c r="A330" i="1"/>
  <c r="D330" i="1"/>
  <c r="A331" i="1"/>
  <c r="D331" i="1"/>
  <c r="A332" i="1"/>
  <c r="D332" i="1"/>
  <c r="A333" i="1"/>
  <c r="D333" i="1"/>
  <c r="A334" i="1"/>
  <c r="D334" i="1"/>
  <c r="A335" i="1"/>
  <c r="D335" i="1"/>
  <c r="A336" i="1"/>
  <c r="D336" i="1"/>
  <c r="A337" i="1"/>
  <c r="D337" i="1"/>
  <c r="A338" i="1"/>
  <c r="D338" i="1"/>
  <c r="A339" i="1"/>
  <c r="D339" i="1"/>
  <c r="A340" i="1"/>
  <c r="D340" i="1"/>
  <c r="A341" i="1"/>
  <c r="D341" i="1"/>
  <c r="A342" i="1"/>
  <c r="D342" i="1"/>
  <c r="A343" i="1"/>
  <c r="D343" i="1"/>
  <c r="A344" i="1"/>
  <c r="D344" i="1"/>
  <c r="A345" i="1"/>
  <c r="D345" i="1"/>
  <c r="A346" i="1"/>
  <c r="D346" i="1"/>
  <c r="A347" i="1"/>
  <c r="D347" i="1"/>
  <c r="A348" i="1"/>
  <c r="D348" i="1"/>
  <c r="A349" i="1"/>
  <c r="D349" i="1"/>
  <c r="A350" i="1"/>
  <c r="D350" i="1"/>
  <c r="A351" i="1"/>
  <c r="D351" i="1"/>
  <c r="A352" i="1"/>
  <c r="D352" i="1"/>
  <c r="A353" i="1"/>
  <c r="D353" i="1"/>
  <c r="A354" i="1"/>
  <c r="D354" i="1"/>
  <c r="A355" i="1"/>
  <c r="D355" i="1"/>
  <c r="A356" i="1"/>
  <c r="D356" i="1"/>
  <c r="A357" i="1"/>
  <c r="D357" i="1"/>
  <c r="A358" i="1"/>
  <c r="D358" i="1"/>
  <c r="A359" i="1"/>
  <c r="D359" i="1"/>
  <c r="A360" i="1"/>
  <c r="D360" i="1"/>
  <c r="A361" i="1"/>
  <c r="D361" i="1"/>
  <c r="A362" i="1"/>
  <c r="D362" i="1"/>
  <c r="A363" i="1"/>
  <c r="D363" i="1"/>
  <c r="A364" i="1"/>
  <c r="D364" i="1"/>
  <c r="A365" i="1"/>
  <c r="D365" i="1"/>
  <c r="A366" i="1"/>
  <c r="D366" i="1"/>
  <c r="A367" i="1"/>
  <c r="D367" i="1"/>
  <c r="A368" i="1"/>
  <c r="D368" i="1"/>
  <c r="A369" i="1"/>
  <c r="D369" i="1"/>
  <c r="A370" i="1"/>
  <c r="D370" i="1"/>
  <c r="A371" i="1"/>
  <c r="D371" i="1"/>
  <c r="A372" i="1"/>
  <c r="D372" i="1"/>
  <c r="A373" i="1"/>
  <c r="D373" i="1"/>
  <c r="A374" i="1"/>
  <c r="D374" i="1"/>
  <c r="A375" i="1"/>
  <c r="D375" i="1"/>
  <c r="A376" i="1"/>
  <c r="D376" i="1"/>
  <c r="A377" i="1"/>
  <c r="D377" i="1"/>
  <c r="A378" i="1"/>
  <c r="D378" i="1"/>
  <c r="A379" i="1"/>
  <c r="D379" i="1"/>
  <c r="A380" i="1"/>
  <c r="D380" i="1"/>
  <c r="A381" i="1"/>
  <c r="D381" i="1"/>
  <c r="A382" i="1"/>
  <c r="D382" i="1"/>
  <c r="A383" i="1"/>
  <c r="D383" i="1"/>
  <c r="A384" i="1"/>
  <c r="D384" i="1"/>
  <c r="A385" i="1"/>
  <c r="D385" i="1"/>
  <c r="A386" i="1"/>
  <c r="D386" i="1"/>
  <c r="A387" i="1"/>
  <c r="D387" i="1"/>
  <c r="A388" i="1"/>
  <c r="D388" i="1"/>
  <c r="A389" i="1"/>
  <c r="D389" i="1"/>
  <c r="A390" i="1"/>
  <c r="D390" i="1"/>
  <c r="A391" i="1"/>
  <c r="D391" i="1"/>
  <c r="A392" i="1"/>
  <c r="D392" i="1"/>
  <c r="A393" i="1"/>
  <c r="D393" i="1"/>
  <c r="A394" i="1"/>
  <c r="D394" i="1"/>
  <c r="A395" i="1"/>
  <c r="D395" i="1"/>
  <c r="A396" i="1"/>
  <c r="D396" i="1"/>
  <c r="A397" i="1"/>
  <c r="D397" i="1"/>
  <c r="A398" i="1"/>
  <c r="D398" i="1"/>
  <c r="A399" i="1"/>
  <c r="D399" i="1"/>
  <c r="A400" i="1"/>
  <c r="D400" i="1"/>
  <c r="A401" i="1"/>
  <c r="D401" i="1"/>
  <c r="A402" i="1"/>
  <c r="D402" i="1"/>
  <c r="A403" i="1"/>
  <c r="D403" i="1"/>
  <c r="A404" i="1"/>
  <c r="D404" i="1"/>
  <c r="A405" i="1"/>
  <c r="D405" i="1"/>
  <c r="A406" i="1"/>
  <c r="D406" i="1"/>
  <c r="A407" i="1"/>
  <c r="D407" i="1"/>
  <c r="A408" i="1"/>
  <c r="D408" i="1"/>
  <c r="A409" i="1"/>
  <c r="D409" i="1"/>
  <c r="A410" i="1"/>
  <c r="D410" i="1"/>
  <c r="A411" i="1"/>
  <c r="D411" i="1"/>
  <c r="A412" i="1"/>
  <c r="D412" i="1"/>
  <c r="A413" i="1"/>
  <c r="D413" i="1"/>
  <c r="A414" i="1"/>
  <c r="D414" i="1"/>
  <c r="A415" i="1"/>
  <c r="D415" i="1"/>
  <c r="A416" i="1"/>
  <c r="D416" i="1"/>
  <c r="A417" i="1"/>
  <c r="D417" i="1"/>
  <c r="A418" i="1"/>
  <c r="D418" i="1"/>
  <c r="A419" i="1"/>
  <c r="D419" i="1"/>
  <c r="A420" i="1"/>
  <c r="D420" i="1"/>
  <c r="A421" i="1"/>
  <c r="D421" i="1"/>
  <c r="A422" i="1"/>
  <c r="D422" i="1"/>
  <c r="A423" i="1"/>
  <c r="D423" i="1"/>
  <c r="A424" i="1"/>
  <c r="D424" i="1"/>
  <c r="A425" i="1"/>
  <c r="D425" i="1"/>
  <c r="A426" i="1"/>
  <c r="D426" i="1"/>
  <c r="A427" i="1"/>
  <c r="D427" i="1"/>
  <c r="A428" i="1"/>
  <c r="D428" i="1"/>
  <c r="A429" i="1"/>
  <c r="D429" i="1"/>
  <c r="A430" i="1"/>
  <c r="D430" i="1"/>
  <c r="A431" i="1"/>
  <c r="D431" i="1"/>
  <c r="A432" i="1"/>
  <c r="D432" i="1"/>
  <c r="A433" i="1"/>
  <c r="D433" i="1"/>
  <c r="A434" i="1"/>
  <c r="D434" i="1"/>
  <c r="A435" i="1"/>
  <c r="D435" i="1"/>
  <c r="A436" i="1"/>
  <c r="D436" i="1"/>
  <c r="A437" i="1"/>
  <c r="D437" i="1"/>
  <c r="A438" i="1"/>
  <c r="D438" i="1"/>
  <c r="A439" i="1"/>
  <c r="D439" i="1"/>
  <c r="A440" i="1"/>
  <c r="D440" i="1"/>
  <c r="A441" i="1"/>
  <c r="D441" i="1"/>
  <c r="A442" i="1"/>
  <c r="D442" i="1"/>
  <c r="A443" i="1"/>
  <c r="D443" i="1"/>
  <c r="A444" i="1"/>
  <c r="D444" i="1"/>
  <c r="A445" i="1"/>
  <c r="D445" i="1"/>
  <c r="A446" i="1"/>
  <c r="D446" i="1"/>
  <c r="A447" i="1"/>
  <c r="D447" i="1"/>
  <c r="A448" i="1"/>
  <c r="D448" i="1"/>
  <c r="A449" i="1"/>
  <c r="D449" i="1"/>
  <c r="A450" i="1"/>
  <c r="D450" i="1"/>
  <c r="A451" i="1"/>
  <c r="D451" i="1"/>
  <c r="A452" i="1"/>
  <c r="D452" i="1"/>
  <c r="A453" i="1"/>
  <c r="D453" i="1"/>
  <c r="A454" i="1"/>
  <c r="D454" i="1"/>
  <c r="A455" i="1"/>
  <c r="D455" i="1"/>
  <c r="A456" i="1"/>
  <c r="D456" i="1"/>
  <c r="A457" i="1"/>
  <c r="D457" i="1"/>
  <c r="A458" i="1"/>
  <c r="D458" i="1"/>
  <c r="A459" i="1"/>
  <c r="D459" i="1"/>
  <c r="A460" i="1"/>
  <c r="D460" i="1"/>
  <c r="A461" i="1"/>
  <c r="D461" i="1"/>
  <c r="A462" i="1"/>
  <c r="D462" i="1"/>
  <c r="A463" i="1"/>
  <c r="D463" i="1"/>
  <c r="A464" i="1"/>
  <c r="D464" i="1"/>
  <c r="A465" i="1"/>
  <c r="D465" i="1"/>
  <c r="A466" i="1"/>
  <c r="D466" i="1"/>
  <c r="A467" i="1"/>
  <c r="D467" i="1"/>
  <c r="A468" i="1"/>
  <c r="D468" i="1"/>
  <c r="A469" i="1"/>
  <c r="D469" i="1"/>
  <c r="A470" i="1"/>
  <c r="D470" i="1"/>
  <c r="A471" i="1"/>
  <c r="D471" i="1"/>
  <c r="A472" i="1"/>
  <c r="D472" i="1"/>
  <c r="A473" i="1"/>
  <c r="D473" i="1"/>
  <c r="A474" i="1"/>
  <c r="D474" i="1"/>
  <c r="A475" i="1"/>
  <c r="D475" i="1"/>
  <c r="A476" i="1"/>
  <c r="D476" i="1"/>
  <c r="A477" i="1"/>
  <c r="D477" i="1"/>
  <c r="A478" i="1"/>
  <c r="D478" i="1"/>
  <c r="A479" i="1"/>
  <c r="D479" i="1"/>
  <c r="A480" i="1"/>
  <c r="D480" i="1"/>
  <c r="A481" i="1"/>
  <c r="D481" i="1"/>
  <c r="A482" i="1"/>
  <c r="D482" i="1"/>
  <c r="A483" i="1"/>
  <c r="D483" i="1"/>
  <c r="A484" i="1"/>
  <c r="D484" i="1"/>
  <c r="A485" i="1"/>
  <c r="D485" i="1"/>
  <c r="A486" i="1"/>
  <c r="D486" i="1"/>
  <c r="A487" i="1"/>
  <c r="D487" i="1"/>
  <c r="A488" i="1"/>
  <c r="D488" i="1"/>
  <c r="A489" i="1"/>
  <c r="D489" i="1"/>
  <c r="A490" i="1"/>
  <c r="D490" i="1"/>
  <c r="A491" i="1"/>
  <c r="D491" i="1"/>
  <c r="A492" i="1"/>
  <c r="D492" i="1"/>
  <c r="A493" i="1"/>
  <c r="D493" i="1"/>
  <c r="A494" i="1"/>
  <c r="D494" i="1"/>
  <c r="A495" i="1"/>
  <c r="D495" i="1"/>
  <c r="A496" i="1"/>
  <c r="D496" i="1"/>
  <c r="A497" i="1"/>
  <c r="D497" i="1"/>
  <c r="A498" i="1"/>
  <c r="D498" i="1"/>
  <c r="A499" i="1"/>
  <c r="D499" i="1"/>
  <c r="A500" i="1"/>
  <c r="D500" i="1"/>
  <c r="A501" i="1"/>
  <c r="D501" i="1"/>
  <c r="A502" i="1"/>
  <c r="D502" i="1"/>
  <c r="A503" i="1"/>
  <c r="D503" i="1"/>
  <c r="A504" i="1"/>
  <c r="D504" i="1"/>
  <c r="A505" i="1"/>
  <c r="D505" i="1"/>
  <c r="A506" i="1"/>
  <c r="D506" i="1"/>
  <c r="A507" i="1"/>
  <c r="D507" i="1"/>
  <c r="A508" i="1"/>
  <c r="D508" i="1"/>
  <c r="A509" i="1"/>
  <c r="D509" i="1"/>
  <c r="A510" i="1"/>
  <c r="D510" i="1"/>
  <c r="A511" i="1"/>
  <c r="D511" i="1"/>
  <c r="A512" i="1"/>
  <c r="D512" i="1"/>
  <c r="A513" i="1"/>
  <c r="D513" i="1"/>
  <c r="A514" i="1"/>
  <c r="D514" i="1"/>
  <c r="A515" i="1"/>
  <c r="D515" i="1"/>
  <c r="A516" i="1"/>
  <c r="D516" i="1"/>
  <c r="A517" i="1"/>
  <c r="D517" i="1"/>
  <c r="A518" i="1"/>
  <c r="D518" i="1"/>
  <c r="A519" i="1"/>
  <c r="D519" i="1"/>
  <c r="A520" i="1"/>
  <c r="D520" i="1"/>
  <c r="A521" i="1"/>
  <c r="D521" i="1"/>
  <c r="A522" i="1"/>
  <c r="D522" i="1"/>
  <c r="A523" i="1"/>
  <c r="D523" i="1"/>
  <c r="A524" i="1"/>
  <c r="D524" i="1"/>
  <c r="A525" i="1"/>
  <c r="D525" i="1"/>
  <c r="A526" i="1"/>
  <c r="D526" i="1"/>
  <c r="A527" i="1"/>
  <c r="D527" i="1"/>
  <c r="A528" i="1"/>
  <c r="D528" i="1"/>
  <c r="A529" i="1"/>
  <c r="D529" i="1"/>
  <c r="A530" i="1"/>
  <c r="D530" i="1"/>
  <c r="A531" i="1"/>
  <c r="D531" i="1"/>
  <c r="A532" i="1"/>
  <c r="D532" i="1"/>
  <c r="A533" i="1"/>
  <c r="D533" i="1"/>
  <c r="A534" i="1"/>
  <c r="D534" i="1"/>
  <c r="A535" i="1"/>
  <c r="D535" i="1"/>
  <c r="A536" i="1"/>
  <c r="D536" i="1"/>
  <c r="A537" i="1"/>
  <c r="D537" i="1"/>
  <c r="A538" i="1"/>
  <c r="D538" i="1"/>
  <c r="A539" i="1"/>
  <c r="D539" i="1"/>
  <c r="A540" i="1"/>
  <c r="D540" i="1"/>
  <c r="A541" i="1"/>
  <c r="D541" i="1"/>
  <c r="A542" i="1"/>
  <c r="D542" i="1"/>
  <c r="A543" i="1"/>
  <c r="D543" i="1"/>
  <c r="A544" i="1"/>
  <c r="D544" i="1"/>
  <c r="A545" i="1"/>
  <c r="D545" i="1"/>
  <c r="A546" i="1"/>
  <c r="D546" i="1"/>
  <c r="A547" i="1"/>
  <c r="D547" i="1"/>
  <c r="A548" i="1"/>
  <c r="D548" i="1"/>
  <c r="A549" i="1"/>
  <c r="D549" i="1"/>
  <c r="A550" i="1"/>
  <c r="D550" i="1"/>
  <c r="A551" i="1"/>
  <c r="D551" i="1"/>
  <c r="A552" i="1"/>
  <c r="D552" i="1"/>
  <c r="A553" i="1"/>
  <c r="D553" i="1"/>
  <c r="A554" i="1"/>
  <c r="D554" i="1"/>
  <c r="A555" i="1"/>
  <c r="D555" i="1"/>
  <c r="A556" i="1"/>
  <c r="D556" i="1"/>
  <c r="A557" i="1"/>
  <c r="D557" i="1"/>
  <c r="A558" i="1"/>
  <c r="D558" i="1"/>
  <c r="A559" i="1"/>
  <c r="D559" i="1"/>
  <c r="A560" i="1"/>
  <c r="D560" i="1"/>
  <c r="A561" i="1"/>
  <c r="D561" i="1"/>
  <c r="A562" i="1"/>
  <c r="D562" i="1"/>
  <c r="A563" i="1"/>
  <c r="D563" i="1"/>
  <c r="A564" i="1"/>
  <c r="D564" i="1"/>
  <c r="A565" i="1"/>
  <c r="D565" i="1"/>
  <c r="A566" i="1"/>
  <c r="D566" i="1"/>
  <c r="A567" i="1"/>
  <c r="D567" i="1"/>
  <c r="A568" i="1"/>
  <c r="D568" i="1"/>
  <c r="A569" i="1"/>
  <c r="D569" i="1"/>
  <c r="A570" i="1"/>
  <c r="D570" i="1"/>
  <c r="A571" i="1"/>
  <c r="D571" i="1"/>
  <c r="A572" i="1"/>
  <c r="D572" i="1"/>
  <c r="A573" i="1"/>
  <c r="D573" i="1"/>
  <c r="A574" i="1"/>
  <c r="D574" i="1"/>
  <c r="A575" i="1"/>
  <c r="D575" i="1"/>
  <c r="A576" i="1"/>
  <c r="D576" i="1"/>
  <c r="A577" i="1"/>
  <c r="D577" i="1"/>
  <c r="A578" i="1"/>
  <c r="D578" i="1"/>
  <c r="A579" i="1"/>
  <c r="D579" i="1"/>
  <c r="A580" i="1"/>
  <c r="D580" i="1"/>
  <c r="A581" i="1"/>
  <c r="D581" i="1"/>
  <c r="A582" i="1"/>
  <c r="D582" i="1"/>
  <c r="A583" i="1"/>
  <c r="D583" i="1"/>
  <c r="A584" i="1"/>
  <c r="D584" i="1"/>
  <c r="A585" i="1"/>
  <c r="D585" i="1"/>
  <c r="A586" i="1"/>
  <c r="D586" i="1"/>
  <c r="A587" i="1"/>
  <c r="D587" i="1"/>
  <c r="A588" i="1"/>
  <c r="D588" i="1"/>
  <c r="A589" i="1"/>
  <c r="D589" i="1"/>
  <c r="A590" i="1"/>
  <c r="D590" i="1"/>
  <c r="A591" i="1"/>
  <c r="D591" i="1"/>
  <c r="A592" i="1"/>
  <c r="D592" i="1"/>
  <c r="A593" i="1"/>
  <c r="D593" i="1"/>
  <c r="A594" i="1"/>
  <c r="D594" i="1"/>
  <c r="A595" i="1"/>
  <c r="D595" i="1"/>
  <c r="A596" i="1"/>
  <c r="D596" i="1"/>
  <c r="A597" i="1"/>
  <c r="D597" i="1"/>
  <c r="A598" i="1"/>
  <c r="D598" i="1"/>
  <c r="A599" i="1"/>
  <c r="D599" i="1"/>
  <c r="A600" i="1"/>
  <c r="D600" i="1"/>
  <c r="A601" i="1"/>
  <c r="D601" i="1"/>
  <c r="A602" i="1"/>
  <c r="D602" i="1"/>
  <c r="A603" i="1"/>
  <c r="D603" i="1"/>
  <c r="A604" i="1"/>
  <c r="D604" i="1"/>
  <c r="A605" i="1"/>
  <c r="D605" i="1"/>
  <c r="A606" i="1"/>
  <c r="D606" i="1"/>
  <c r="A607" i="1"/>
  <c r="D607" i="1"/>
  <c r="A608" i="1"/>
  <c r="D608" i="1"/>
  <c r="A609" i="1"/>
  <c r="D609" i="1"/>
  <c r="A610" i="1"/>
  <c r="D610" i="1"/>
  <c r="A611" i="1"/>
  <c r="D611" i="1"/>
  <c r="A612" i="1"/>
  <c r="D612" i="1"/>
  <c r="A613" i="1"/>
  <c r="D613" i="1"/>
  <c r="A614" i="1"/>
  <c r="D614" i="1"/>
  <c r="A615" i="1"/>
  <c r="D615" i="1"/>
  <c r="A616" i="1"/>
  <c r="D616" i="1"/>
  <c r="A617" i="1"/>
  <c r="D617" i="1"/>
  <c r="A618" i="1"/>
  <c r="D618" i="1"/>
  <c r="A619" i="1"/>
  <c r="D619" i="1"/>
  <c r="A620" i="1"/>
  <c r="D620" i="1"/>
  <c r="A621" i="1"/>
  <c r="D621" i="1"/>
  <c r="A622" i="1"/>
  <c r="D622" i="1"/>
  <c r="A623" i="1"/>
  <c r="D623" i="1"/>
  <c r="A624" i="1"/>
  <c r="D624" i="1"/>
  <c r="A625" i="1"/>
  <c r="D625" i="1"/>
  <c r="A626" i="1"/>
  <c r="D626" i="1"/>
  <c r="A627" i="1"/>
  <c r="D627" i="1"/>
  <c r="A628" i="1"/>
  <c r="D628" i="1"/>
  <c r="A629" i="1"/>
  <c r="D629" i="1"/>
  <c r="A630" i="1"/>
  <c r="D630" i="1"/>
  <c r="A631" i="1"/>
  <c r="D631" i="1"/>
  <c r="A632" i="1"/>
  <c r="D632" i="1"/>
  <c r="A633" i="1"/>
  <c r="D633" i="1"/>
  <c r="A634" i="1"/>
  <c r="D634" i="1"/>
  <c r="A635" i="1"/>
  <c r="D635" i="1"/>
  <c r="A636" i="1"/>
  <c r="D636" i="1"/>
  <c r="A637" i="1"/>
  <c r="D637" i="1"/>
  <c r="A638" i="1"/>
  <c r="D638" i="1"/>
  <c r="A639" i="1"/>
  <c r="D639" i="1"/>
  <c r="A640" i="1"/>
  <c r="D640" i="1"/>
  <c r="A641" i="1"/>
  <c r="D641" i="1"/>
  <c r="A642" i="1"/>
  <c r="D642" i="1"/>
  <c r="A643" i="1"/>
  <c r="D643" i="1"/>
  <c r="A644" i="1"/>
  <c r="D644" i="1"/>
  <c r="A645" i="1"/>
  <c r="D645" i="1"/>
  <c r="A646" i="1"/>
  <c r="D646" i="1"/>
  <c r="A647" i="1"/>
  <c r="D647" i="1"/>
  <c r="A648" i="1"/>
  <c r="D648" i="1"/>
  <c r="A649" i="1"/>
  <c r="D649" i="1"/>
  <c r="A650" i="1"/>
  <c r="D650" i="1"/>
  <c r="A651" i="1"/>
  <c r="D651" i="1"/>
  <c r="A652" i="1"/>
  <c r="D652" i="1"/>
  <c r="A653" i="1"/>
  <c r="D653" i="1"/>
  <c r="A654" i="1"/>
  <c r="D654" i="1"/>
  <c r="A655" i="1"/>
  <c r="D655" i="1"/>
  <c r="A656" i="1"/>
  <c r="D656" i="1"/>
  <c r="A657" i="1"/>
  <c r="D657" i="1"/>
  <c r="A658" i="1"/>
  <c r="D658" i="1"/>
  <c r="A659" i="1"/>
  <c r="D659" i="1"/>
  <c r="A660" i="1"/>
  <c r="D660" i="1"/>
  <c r="A661" i="1"/>
  <c r="D661" i="1"/>
  <c r="A662" i="1"/>
  <c r="D662" i="1"/>
  <c r="A663" i="1"/>
  <c r="D663" i="1"/>
  <c r="A664" i="1"/>
  <c r="D664" i="1"/>
  <c r="A665" i="1"/>
  <c r="D665" i="1"/>
  <c r="A666" i="1"/>
  <c r="D666" i="1"/>
  <c r="A667" i="1"/>
  <c r="D667" i="1"/>
  <c r="A668" i="1"/>
  <c r="D668" i="1"/>
  <c r="A669" i="1"/>
  <c r="D669" i="1"/>
  <c r="A670" i="1"/>
  <c r="D670" i="1"/>
  <c r="A671" i="1"/>
  <c r="D671" i="1"/>
  <c r="A672" i="1"/>
  <c r="D672" i="1"/>
  <c r="A673" i="1"/>
  <c r="D673" i="1"/>
  <c r="A674" i="1"/>
  <c r="D674" i="1"/>
  <c r="A675" i="1"/>
  <c r="D675" i="1"/>
  <c r="A676" i="1"/>
  <c r="D676" i="1"/>
  <c r="A677" i="1"/>
  <c r="D677" i="1"/>
  <c r="A678" i="1"/>
  <c r="D678" i="1"/>
  <c r="A679" i="1"/>
  <c r="D679" i="1"/>
  <c r="A680" i="1"/>
  <c r="D680" i="1"/>
  <c r="A681" i="1"/>
  <c r="D681" i="1"/>
  <c r="A682" i="1"/>
  <c r="D682" i="1"/>
  <c r="A683" i="1"/>
  <c r="D683" i="1"/>
  <c r="A684" i="1"/>
  <c r="D684" i="1"/>
  <c r="A685" i="1"/>
  <c r="D685" i="1"/>
  <c r="A686" i="1"/>
  <c r="D686" i="1"/>
  <c r="A687" i="1"/>
  <c r="D687" i="1"/>
  <c r="A688" i="1"/>
  <c r="D688" i="1"/>
  <c r="A689" i="1"/>
  <c r="D689" i="1"/>
  <c r="A690" i="1"/>
  <c r="D690" i="1"/>
  <c r="A691" i="1"/>
  <c r="D691" i="1"/>
  <c r="A692" i="1"/>
  <c r="D692" i="1"/>
  <c r="A693" i="1"/>
  <c r="D693" i="1"/>
  <c r="A694" i="1"/>
  <c r="D694" i="1"/>
  <c r="A695" i="1"/>
  <c r="D695" i="1"/>
  <c r="A696" i="1"/>
  <c r="D696" i="1"/>
  <c r="A697" i="1"/>
  <c r="D697" i="1"/>
  <c r="A698" i="1"/>
  <c r="D698" i="1"/>
  <c r="A699" i="1"/>
  <c r="D699" i="1"/>
  <c r="A700" i="1"/>
  <c r="D700" i="1"/>
  <c r="A701" i="1"/>
  <c r="D701" i="1"/>
  <c r="A702" i="1"/>
  <c r="D702" i="1"/>
  <c r="A703" i="1"/>
  <c r="D703" i="1"/>
  <c r="A704" i="1"/>
  <c r="D704" i="1"/>
  <c r="A705" i="1"/>
  <c r="D705" i="1"/>
  <c r="A706" i="1"/>
  <c r="D706" i="1"/>
  <c r="A707" i="1"/>
  <c r="D707" i="1"/>
  <c r="A708" i="1"/>
  <c r="D708" i="1"/>
  <c r="A709" i="1"/>
  <c r="D709" i="1"/>
  <c r="A710" i="1"/>
  <c r="D710" i="1"/>
  <c r="A711" i="1"/>
  <c r="D711" i="1"/>
  <c r="A712" i="1"/>
  <c r="D712" i="1"/>
  <c r="A713" i="1"/>
  <c r="D713" i="1"/>
  <c r="A714" i="1"/>
  <c r="D714" i="1"/>
  <c r="A715" i="1"/>
  <c r="D715" i="1"/>
  <c r="A716" i="1"/>
  <c r="D716" i="1"/>
  <c r="A717" i="1"/>
  <c r="D717" i="1"/>
  <c r="A718" i="1"/>
  <c r="D718" i="1"/>
  <c r="A719" i="1"/>
  <c r="D719" i="1"/>
  <c r="A720" i="1"/>
  <c r="D720" i="1"/>
  <c r="A721" i="1"/>
  <c r="D721" i="1"/>
  <c r="A722" i="1"/>
  <c r="D722" i="1"/>
  <c r="A723" i="1"/>
  <c r="D723" i="1"/>
  <c r="A724" i="1"/>
  <c r="D724" i="1"/>
  <c r="A725" i="1"/>
  <c r="D725" i="1"/>
  <c r="A726" i="1"/>
  <c r="D726" i="1"/>
  <c r="A727" i="1"/>
  <c r="D727" i="1"/>
  <c r="A728" i="1"/>
  <c r="D728" i="1"/>
  <c r="A729" i="1"/>
  <c r="D729" i="1"/>
  <c r="A730" i="1"/>
  <c r="D730" i="1"/>
  <c r="A731" i="1"/>
  <c r="D731" i="1"/>
  <c r="A732" i="1"/>
  <c r="D732" i="1"/>
  <c r="A733" i="1"/>
  <c r="D733" i="1"/>
  <c r="A734" i="1"/>
  <c r="D734" i="1"/>
  <c r="A735" i="1"/>
  <c r="D735" i="1"/>
  <c r="A736" i="1"/>
  <c r="D736" i="1"/>
  <c r="A737" i="1"/>
  <c r="D737" i="1"/>
  <c r="A738" i="1"/>
  <c r="D738" i="1"/>
  <c r="A739" i="1"/>
  <c r="D739" i="1"/>
  <c r="A740" i="1"/>
  <c r="D740" i="1"/>
  <c r="A741" i="1"/>
  <c r="D741" i="1"/>
  <c r="A742" i="1"/>
  <c r="D742" i="1"/>
  <c r="A743" i="1"/>
  <c r="D743" i="1"/>
  <c r="A744" i="1"/>
  <c r="D744" i="1"/>
  <c r="A745" i="1"/>
  <c r="D745" i="1"/>
  <c r="A746" i="1"/>
  <c r="D746" i="1"/>
  <c r="A747" i="1"/>
  <c r="D747" i="1"/>
  <c r="A748" i="1"/>
  <c r="D748" i="1"/>
  <c r="A749" i="1"/>
  <c r="D749" i="1"/>
  <c r="A750" i="1"/>
  <c r="D750" i="1"/>
  <c r="A751" i="1"/>
  <c r="D751" i="1"/>
  <c r="A752" i="1"/>
  <c r="D752" i="1"/>
  <c r="A753" i="1"/>
  <c r="D753" i="1"/>
  <c r="A754" i="1"/>
  <c r="D754" i="1"/>
  <c r="A755" i="1"/>
  <c r="D755" i="1"/>
  <c r="A756" i="1"/>
  <c r="D756" i="1"/>
  <c r="A757" i="1"/>
  <c r="D757" i="1"/>
  <c r="A758" i="1"/>
  <c r="D758" i="1"/>
  <c r="A759" i="1"/>
  <c r="D759" i="1"/>
  <c r="A760" i="1"/>
  <c r="D760" i="1"/>
  <c r="A761" i="1"/>
  <c r="D761" i="1"/>
  <c r="A762" i="1"/>
  <c r="D762" i="1"/>
  <c r="A763" i="1"/>
  <c r="D763" i="1"/>
  <c r="A764" i="1"/>
  <c r="D764" i="1"/>
  <c r="A765" i="1"/>
  <c r="D765" i="1"/>
  <c r="A766" i="1"/>
  <c r="D766" i="1"/>
  <c r="A767" i="1"/>
  <c r="D767" i="1"/>
  <c r="A768" i="1"/>
  <c r="D768" i="1"/>
  <c r="A769" i="1"/>
  <c r="D769" i="1"/>
  <c r="A770" i="1"/>
  <c r="D770" i="1"/>
  <c r="A771" i="1"/>
  <c r="D771" i="1"/>
  <c r="A772" i="1"/>
  <c r="D772" i="1"/>
  <c r="A773" i="1"/>
  <c r="D773" i="1"/>
  <c r="A774" i="1"/>
  <c r="D774" i="1"/>
  <c r="A775" i="1"/>
  <c r="D775" i="1"/>
  <c r="A776" i="1"/>
  <c r="D776" i="1"/>
  <c r="A777" i="1"/>
  <c r="D777" i="1"/>
  <c r="A778" i="1"/>
  <c r="D778" i="1"/>
  <c r="A779" i="1"/>
  <c r="D779" i="1"/>
  <c r="A780" i="1"/>
  <c r="D780" i="1"/>
  <c r="A781" i="1"/>
  <c r="D781" i="1"/>
  <c r="A782" i="1"/>
  <c r="D782" i="1"/>
  <c r="A783" i="1"/>
  <c r="D783" i="1"/>
  <c r="A784" i="1"/>
  <c r="D784" i="1"/>
  <c r="A785" i="1"/>
  <c r="D785" i="1"/>
  <c r="A786" i="1"/>
  <c r="D786" i="1"/>
  <c r="A787" i="1"/>
  <c r="D787" i="1"/>
  <c r="A788" i="1"/>
  <c r="D788" i="1"/>
  <c r="A789" i="1"/>
  <c r="D789" i="1"/>
  <c r="A790" i="1"/>
  <c r="D790" i="1"/>
  <c r="A791" i="1"/>
  <c r="D791" i="1"/>
  <c r="A792" i="1"/>
  <c r="D792" i="1"/>
  <c r="A793" i="1"/>
  <c r="D793" i="1"/>
  <c r="A794" i="1"/>
  <c r="D794" i="1"/>
  <c r="A795" i="1"/>
  <c r="D795" i="1"/>
  <c r="A796" i="1"/>
  <c r="D796" i="1"/>
  <c r="A797" i="1"/>
  <c r="D797" i="1"/>
  <c r="A798" i="1"/>
  <c r="D798" i="1"/>
  <c r="A799" i="1"/>
  <c r="D799" i="1"/>
  <c r="A800" i="1"/>
  <c r="D800" i="1"/>
  <c r="A801" i="1"/>
  <c r="D801" i="1"/>
  <c r="A802" i="1"/>
  <c r="D802" i="1"/>
  <c r="A803" i="1"/>
  <c r="D803" i="1"/>
  <c r="A804" i="1"/>
  <c r="D804" i="1"/>
  <c r="A805" i="1"/>
  <c r="D805" i="1"/>
  <c r="A806" i="1"/>
  <c r="D806" i="1"/>
  <c r="A807" i="1"/>
  <c r="D807" i="1"/>
  <c r="A808" i="1"/>
  <c r="D808" i="1"/>
  <c r="A809" i="1"/>
  <c r="D809" i="1"/>
  <c r="A810" i="1"/>
  <c r="D810" i="1"/>
  <c r="A811" i="1"/>
  <c r="D811" i="1"/>
  <c r="A812" i="1"/>
  <c r="D812" i="1"/>
  <c r="A813" i="1"/>
  <c r="D813" i="1"/>
  <c r="A814" i="1"/>
  <c r="D814" i="1"/>
  <c r="A815" i="1"/>
  <c r="D815" i="1"/>
  <c r="A816" i="1"/>
  <c r="D816" i="1"/>
  <c r="A817" i="1"/>
  <c r="D817" i="1"/>
  <c r="A818" i="1"/>
  <c r="D818" i="1"/>
  <c r="A819" i="1"/>
  <c r="D819" i="1"/>
  <c r="A820" i="1"/>
  <c r="D820" i="1"/>
  <c r="A821" i="1"/>
  <c r="D821" i="1"/>
  <c r="A822" i="1"/>
  <c r="D822" i="1"/>
  <c r="A823" i="1"/>
  <c r="D823" i="1"/>
  <c r="A824" i="1"/>
  <c r="D824" i="1"/>
  <c r="A825" i="1"/>
  <c r="D825" i="1"/>
  <c r="A826" i="1"/>
  <c r="D826" i="1"/>
  <c r="A827" i="1"/>
  <c r="D827" i="1"/>
  <c r="A828" i="1"/>
  <c r="D828" i="1"/>
  <c r="A829" i="1"/>
  <c r="D829" i="1"/>
  <c r="A830" i="1"/>
  <c r="D830" i="1"/>
  <c r="A831" i="1"/>
  <c r="D831" i="1"/>
  <c r="A832" i="1"/>
  <c r="D832" i="1"/>
  <c r="A833" i="1"/>
  <c r="D833" i="1"/>
  <c r="A834" i="1"/>
  <c r="D834" i="1"/>
  <c r="A835" i="1"/>
  <c r="D835" i="1"/>
  <c r="A836" i="1"/>
  <c r="D836" i="1"/>
  <c r="A837" i="1"/>
  <c r="D837" i="1"/>
  <c r="A838" i="1"/>
  <c r="D838" i="1"/>
  <c r="A839" i="1"/>
  <c r="D839" i="1"/>
  <c r="A840" i="1"/>
  <c r="D840" i="1"/>
  <c r="A841" i="1"/>
  <c r="D841" i="1"/>
  <c r="A842" i="1"/>
  <c r="D842" i="1"/>
  <c r="A843" i="1"/>
  <c r="D843" i="1"/>
  <c r="A844" i="1"/>
  <c r="D844" i="1"/>
  <c r="A845" i="1"/>
  <c r="D845" i="1"/>
  <c r="A846" i="1"/>
  <c r="D846" i="1"/>
  <c r="A847" i="1"/>
  <c r="D847" i="1"/>
  <c r="A848" i="1"/>
  <c r="D848" i="1"/>
  <c r="A849" i="1"/>
  <c r="D849" i="1"/>
  <c r="A850" i="1"/>
  <c r="D850" i="1"/>
  <c r="A851" i="1"/>
  <c r="D851" i="1"/>
  <c r="A852" i="1"/>
  <c r="D852" i="1"/>
  <c r="A853" i="1"/>
  <c r="D853" i="1"/>
  <c r="A854" i="1"/>
  <c r="D854" i="1"/>
  <c r="A855" i="1"/>
  <c r="D855" i="1"/>
  <c r="A856" i="1"/>
  <c r="D856" i="1"/>
  <c r="A857" i="1"/>
  <c r="D857" i="1"/>
  <c r="A858" i="1"/>
  <c r="D858" i="1"/>
  <c r="A859" i="1"/>
  <c r="D859" i="1"/>
  <c r="A860" i="1"/>
  <c r="D860" i="1"/>
  <c r="A861" i="1"/>
  <c r="D861" i="1"/>
  <c r="A862" i="1"/>
  <c r="D862" i="1"/>
  <c r="A863" i="1"/>
  <c r="D863" i="1"/>
  <c r="A864" i="1"/>
  <c r="D864" i="1"/>
  <c r="A865" i="1"/>
  <c r="D865" i="1"/>
  <c r="A866" i="1"/>
  <c r="D866" i="1"/>
  <c r="A867" i="1"/>
  <c r="D867" i="1"/>
  <c r="A868" i="1"/>
  <c r="D868" i="1"/>
  <c r="A869" i="1"/>
  <c r="D869" i="1"/>
  <c r="A870" i="1"/>
  <c r="D870" i="1"/>
  <c r="A871" i="1"/>
  <c r="D871" i="1"/>
  <c r="A872" i="1"/>
  <c r="D872" i="1"/>
  <c r="A873" i="1"/>
  <c r="D873" i="1"/>
  <c r="A874" i="1"/>
  <c r="D874" i="1"/>
  <c r="A875" i="1"/>
  <c r="D875" i="1"/>
  <c r="A876" i="1"/>
  <c r="D876" i="1"/>
  <c r="A877" i="1"/>
  <c r="D877" i="1"/>
  <c r="A878" i="1"/>
  <c r="D878" i="1"/>
  <c r="A879" i="1"/>
  <c r="D879" i="1"/>
  <c r="A880" i="1"/>
  <c r="D880" i="1"/>
  <c r="A881" i="1"/>
  <c r="D881" i="1"/>
  <c r="A882" i="1"/>
  <c r="D882" i="1"/>
  <c r="A883" i="1"/>
  <c r="D883" i="1"/>
  <c r="A884" i="1"/>
  <c r="D884" i="1"/>
  <c r="A885" i="1"/>
  <c r="D885" i="1"/>
  <c r="A886" i="1"/>
  <c r="D886" i="1"/>
  <c r="A887" i="1"/>
  <c r="D887" i="1"/>
  <c r="A888" i="1"/>
  <c r="D888" i="1"/>
  <c r="A889" i="1"/>
  <c r="D889" i="1"/>
  <c r="A890" i="1"/>
  <c r="D890" i="1"/>
  <c r="A891" i="1"/>
  <c r="D891" i="1"/>
  <c r="A892" i="1"/>
  <c r="D892" i="1"/>
  <c r="A893" i="1"/>
  <c r="D893" i="1"/>
  <c r="A894" i="1"/>
  <c r="D894" i="1"/>
  <c r="A895" i="1"/>
  <c r="D895" i="1"/>
  <c r="A896" i="1"/>
  <c r="D896" i="1"/>
  <c r="A897" i="1"/>
  <c r="D897" i="1"/>
  <c r="A898" i="1"/>
  <c r="D898" i="1"/>
  <c r="A899" i="1"/>
  <c r="D899" i="1"/>
  <c r="A900" i="1"/>
  <c r="D900" i="1"/>
  <c r="A901" i="1"/>
  <c r="D901" i="1"/>
  <c r="A902" i="1"/>
  <c r="D902" i="1"/>
  <c r="A903" i="1"/>
  <c r="D903" i="1"/>
  <c r="A904" i="1"/>
  <c r="D904" i="1"/>
  <c r="A905" i="1"/>
  <c r="D905" i="1"/>
  <c r="A906" i="1"/>
  <c r="D906" i="1"/>
  <c r="A907" i="1"/>
  <c r="D907" i="1"/>
  <c r="A908" i="1"/>
  <c r="D908" i="1"/>
  <c r="A909" i="1"/>
  <c r="D909" i="1"/>
  <c r="A910" i="1"/>
  <c r="D910" i="1"/>
  <c r="A911" i="1"/>
  <c r="D911" i="1"/>
  <c r="A912" i="1"/>
  <c r="D912" i="1"/>
  <c r="A913" i="1"/>
  <c r="D913" i="1"/>
  <c r="A914" i="1"/>
  <c r="D914" i="1"/>
  <c r="A915" i="1"/>
  <c r="D915" i="1"/>
  <c r="A916" i="1"/>
  <c r="D916" i="1"/>
  <c r="A917" i="1"/>
  <c r="D917" i="1"/>
  <c r="A918" i="1"/>
  <c r="D918" i="1"/>
  <c r="A919" i="1"/>
  <c r="D919" i="1"/>
  <c r="A920" i="1"/>
  <c r="D920" i="1"/>
  <c r="A921" i="1"/>
  <c r="D921" i="1"/>
  <c r="A922" i="1"/>
  <c r="D922" i="1"/>
  <c r="A923" i="1"/>
  <c r="D923" i="1"/>
  <c r="A924" i="1"/>
  <c r="D924" i="1"/>
  <c r="A925" i="1"/>
  <c r="D925" i="1"/>
  <c r="A926" i="1"/>
  <c r="D926" i="1"/>
  <c r="A927" i="1"/>
  <c r="D927" i="1"/>
  <c r="A928" i="1"/>
  <c r="D928" i="1"/>
  <c r="A929" i="1"/>
  <c r="D929" i="1"/>
  <c r="A930" i="1"/>
  <c r="D930" i="1"/>
  <c r="A931" i="1"/>
  <c r="D931" i="1"/>
  <c r="A932" i="1"/>
  <c r="D932" i="1"/>
  <c r="A933" i="1"/>
  <c r="D933" i="1"/>
  <c r="A934" i="1"/>
  <c r="D934" i="1"/>
  <c r="A935" i="1"/>
  <c r="D935" i="1"/>
  <c r="A936" i="1"/>
  <c r="D936" i="1"/>
  <c r="A937" i="1"/>
  <c r="D937" i="1"/>
  <c r="A938" i="1"/>
  <c r="D938" i="1"/>
  <c r="A939" i="1"/>
  <c r="D939" i="1"/>
  <c r="A940" i="1"/>
  <c r="D940" i="1"/>
  <c r="A941" i="1"/>
  <c r="D941" i="1"/>
  <c r="A942" i="1"/>
  <c r="D942" i="1"/>
  <c r="A943" i="1"/>
  <c r="D943" i="1"/>
  <c r="A944" i="1"/>
  <c r="D944" i="1"/>
  <c r="A945" i="1"/>
  <c r="D945" i="1"/>
  <c r="A946" i="1"/>
  <c r="D946" i="1"/>
  <c r="A947" i="1"/>
  <c r="D947" i="1"/>
  <c r="A948" i="1"/>
  <c r="D948" i="1"/>
  <c r="A949" i="1"/>
  <c r="D949" i="1"/>
  <c r="A950" i="1"/>
  <c r="D950" i="1"/>
  <c r="A951" i="1"/>
  <c r="D951" i="1"/>
  <c r="A952" i="1"/>
  <c r="D952" i="1"/>
  <c r="A953" i="1"/>
  <c r="D953" i="1"/>
  <c r="A954" i="1"/>
  <c r="D954" i="1"/>
  <c r="A955" i="1"/>
  <c r="D955" i="1"/>
  <c r="A956" i="1"/>
  <c r="D956" i="1"/>
  <c r="A957" i="1"/>
  <c r="D957" i="1"/>
  <c r="A958" i="1"/>
  <c r="D958" i="1"/>
  <c r="A959" i="1"/>
  <c r="D959" i="1"/>
  <c r="A960" i="1"/>
  <c r="D960" i="1"/>
  <c r="A961" i="1"/>
  <c r="D961" i="1"/>
  <c r="A962" i="1"/>
  <c r="D962" i="1"/>
  <c r="A963" i="1"/>
  <c r="D963" i="1"/>
  <c r="A964" i="1"/>
  <c r="D964" i="1"/>
  <c r="A965" i="1"/>
  <c r="D965" i="1"/>
  <c r="A966" i="1"/>
  <c r="D966" i="1"/>
  <c r="A967" i="1"/>
  <c r="D967" i="1"/>
  <c r="A968" i="1"/>
  <c r="D968" i="1"/>
  <c r="A969" i="1"/>
  <c r="D969" i="1"/>
  <c r="A970" i="1"/>
  <c r="D970" i="1"/>
  <c r="A971" i="1"/>
  <c r="D971" i="1"/>
  <c r="A972" i="1"/>
  <c r="D972" i="1"/>
  <c r="A973" i="1"/>
  <c r="D973" i="1"/>
  <c r="A974" i="1"/>
  <c r="D974" i="1"/>
  <c r="A975" i="1"/>
  <c r="D975" i="1"/>
  <c r="A976" i="1"/>
  <c r="D976" i="1"/>
  <c r="A977" i="1"/>
  <c r="D977" i="1"/>
  <c r="A978" i="1"/>
  <c r="D978" i="1"/>
  <c r="A979" i="1"/>
  <c r="D979" i="1"/>
  <c r="A980" i="1"/>
  <c r="D980" i="1"/>
  <c r="A981" i="1"/>
  <c r="D981" i="1"/>
  <c r="A982" i="1"/>
  <c r="D982" i="1"/>
  <c r="A983" i="1"/>
  <c r="D983" i="1"/>
  <c r="A984" i="1"/>
  <c r="D984" i="1"/>
  <c r="A985" i="1"/>
  <c r="D985" i="1"/>
  <c r="A986" i="1"/>
  <c r="D986" i="1"/>
  <c r="A987" i="1"/>
  <c r="D987" i="1"/>
  <c r="A988" i="1"/>
  <c r="D988" i="1"/>
  <c r="A989" i="1"/>
  <c r="D989" i="1"/>
  <c r="A990" i="1"/>
  <c r="D990" i="1"/>
  <c r="A991" i="1"/>
  <c r="D991" i="1"/>
  <c r="A992" i="1"/>
  <c r="D992" i="1"/>
  <c r="A993" i="1"/>
  <c r="D993" i="1"/>
  <c r="A994" i="1"/>
  <c r="D994" i="1"/>
  <c r="A995" i="1"/>
  <c r="D995" i="1"/>
  <c r="A996" i="1"/>
  <c r="D996" i="1"/>
  <c r="A997" i="1"/>
  <c r="D997" i="1"/>
  <c r="A998" i="1"/>
  <c r="D998" i="1"/>
  <c r="A999" i="1"/>
  <c r="D999" i="1"/>
  <c r="A1000" i="1"/>
  <c r="D1000" i="1"/>
  <c r="A1001" i="1"/>
  <c r="D1001" i="1"/>
  <c r="A1002" i="1"/>
  <c r="D1002" i="1"/>
  <c r="A1003" i="1"/>
  <c r="D1003" i="1"/>
  <c r="A1004" i="1"/>
  <c r="D1004" i="1"/>
  <c r="A1005" i="1"/>
  <c r="D1005" i="1"/>
  <c r="A1006" i="1"/>
  <c r="D1006" i="1"/>
  <c r="A1007" i="1"/>
  <c r="D1007" i="1"/>
  <c r="A1008" i="1"/>
  <c r="D1008" i="1"/>
  <c r="A1009" i="1"/>
  <c r="D1009" i="1"/>
  <c r="A1010" i="1"/>
  <c r="D1010" i="1"/>
  <c r="A1011" i="1"/>
  <c r="D1011" i="1"/>
  <c r="A1012" i="1"/>
  <c r="D1012" i="1"/>
  <c r="A1013" i="1"/>
  <c r="D1013" i="1"/>
  <c r="A1014" i="1"/>
  <c r="D1014" i="1"/>
  <c r="A1015" i="1"/>
  <c r="D1015" i="1"/>
  <c r="A1016" i="1"/>
  <c r="D1016" i="1"/>
  <c r="A1017" i="1"/>
  <c r="D1017" i="1"/>
  <c r="A1018" i="1"/>
  <c r="D1018" i="1"/>
  <c r="A1019" i="1"/>
  <c r="D1019" i="1"/>
  <c r="A1020" i="1"/>
  <c r="D1020" i="1"/>
  <c r="A1021" i="1"/>
  <c r="D1021" i="1"/>
  <c r="A1022" i="1"/>
  <c r="D1022" i="1"/>
  <c r="A1023" i="1"/>
  <c r="D1023" i="1"/>
  <c r="A1024" i="1"/>
  <c r="D1024" i="1"/>
  <c r="A1025" i="1"/>
  <c r="D1025" i="1"/>
  <c r="A1026" i="1"/>
  <c r="D1026" i="1"/>
  <c r="A1027" i="1"/>
  <c r="D1027" i="1"/>
  <c r="A1028" i="1"/>
  <c r="D1028" i="1"/>
  <c r="A1029" i="1"/>
  <c r="D1029" i="1"/>
  <c r="A1030" i="1"/>
  <c r="D1030" i="1"/>
  <c r="A1031" i="1"/>
  <c r="D1031" i="1"/>
  <c r="A1032" i="1"/>
  <c r="D1032" i="1"/>
  <c r="A1033" i="1"/>
  <c r="D1033" i="1"/>
  <c r="A1034" i="1"/>
  <c r="D1034" i="1"/>
  <c r="A1035" i="1"/>
  <c r="D1035" i="1"/>
  <c r="A1036" i="1"/>
  <c r="D1036" i="1"/>
  <c r="A1037" i="1"/>
  <c r="D1037" i="1"/>
  <c r="A1038" i="1"/>
  <c r="D1038" i="1"/>
  <c r="A1039" i="1"/>
  <c r="D1039" i="1"/>
  <c r="A1040" i="1"/>
  <c r="D1040" i="1"/>
  <c r="A1041" i="1"/>
  <c r="D1041" i="1"/>
  <c r="A1042" i="1"/>
  <c r="D1042" i="1"/>
  <c r="A1043" i="1"/>
  <c r="D1043" i="1"/>
  <c r="A1044" i="1"/>
  <c r="D1044" i="1"/>
  <c r="A1045" i="1"/>
  <c r="D1045" i="1"/>
  <c r="A1046" i="1"/>
  <c r="D1046" i="1"/>
  <c r="A1047" i="1"/>
  <c r="D1047" i="1"/>
  <c r="A1048" i="1"/>
  <c r="D1048" i="1"/>
  <c r="A1049" i="1"/>
  <c r="D1049" i="1"/>
  <c r="A1050" i="1"/>
  <c r="D1050" i="1"/>
  <c r="A1051" i="1"/>
  <c r="D1051" i="1"/>
  <c r="A1052" i="1"/>
  <c r="D1052" i="1"/>
  <c r="A1053" i="1"/>
  <c r="D1053" i="1"/>
  <c r="A1054" i="1"/>
  <c r="D1054" i="1"/>
  <c r="A1055" i="1"/>
  <c r="D1055" i="1"/>
  <c r="A1056" i="1"/>
  <c r="D1056" i="1"/>
  <c r="A1057" i="1"/>
  <c r="D1057" i="1"/>
  <c r="A1058" i="1"/>
  <c r="D1058" i="1"/>
  <c r="A1059" i="1"/>
  <c r="D1059" i="1"/>
  <c r="A1060" i="1"/>
  <c r="D1060" i="1"/>
  <c r="A1061" i="1"/>
  <c r="D1061" i="1"/>
  <c r="A1062" i="1"/>
  <c r="D1062" i="1"/>
  <c r="A1063" i="1"/>
  <c r="D1063" i="1"/>
  <c r="A1064" i="1"/>
  <c r="D1064" i="1"/>
  <c r="A1065" i="1"/>
  <c r="D1065" i="1"/>
  <c r="A1066" i="1"/>
  <c r="D1066" i="1"/>
  <c r="A1067" i="1"/>
  <c r="D1067" i="1"/>
  <c r="A1068" i="1"/>
  <c r="D1068" i="1"/>
  <c r="A1069" i="1"/>
  <c r="D1069" i="1"/>
  <c r="A1070" i="1"/>
  <c r="D1070" i="1"/>
  <c r="A1071" i="1"/>
  <c r="D1071" i="1"/>
  <c r="A1072" i="1"/>
  <c r="D1072" i="1"/>
  <c r="A1073" i="1"/>
  <c r="D1073" i="1"/>
  <c r="A1074" i="1"/>
  <c r="D1074" i="1"/>
  <c r="A1075" i="1"/>
  <c r="D1075" i="1"/>
  <c r="A1076" i="1"/>
  <c r="D1076" i="1"/>
  <c r="A1077" i="1"/>
  <c r="D1077" i="1"/>
  <c r="A1078" i="1"/>
  <c r="D1078" i="1"/>
  <c r="A1079" i="1"/>
  <c r="D1079" i="1"/>
  <c r="A1080" i="1"/>
  <c r="D1080" i="1"/>
  <c r="A1081" i="1"/>
  <c r="D1081" i="1"/>
  <c r="A1082" i="1"/>
  <c r="D1082" i="1"/>
  <c r="A1083" i="1"/>
  <c r="D1083" i="1"/>
  <c r="A1084" i="1"/>
  <c r="D1084" i="1"/>
  <c r="A1085" i="1"/>
  <c r="D1085" i="1"/>
  <c r="A1086" i="1"/>
  <c r="D1086" i="1"/>
  <c r="A1087" i="1"/>
  <c r="D1087" i="1"/>
  <c r="A1088" i="1"/>
  <c r="D1088" i="1"/>
  <c r="A1089" i="1"/>
  <c r="D1089" i="1"/>
  <c r="A1090" i="1"/>
  <c r="D1090" i="1"/>
  <c r="A1091" i="1"/>
  <c r="D1091" i="1"/>
  <c r="A1092" i="1"/>
  <c r="D1092" i="1"/>
  <c r="A1093" i="1"/>
  <c r="D1093" i="1"/>
  <c r="A1094" i="1"/>
  <c r="D1094" i="1"/>
  <c r="A1095" i="1"/>
  <c r="D1095" i="1"/>
  <c r="A1096" i="1"/>
  <c r="D1096" i="1"/>
  <c r="A1097" i="1"/>
  <c r="D1097" i="1"/>
  <c r="A1098" i="1"/>
  <c r="D1098" i="1"/>
  <c r="A1099" i="1"/>
  <c r="D1099" i="1"/>
  <c r="A1100" i="1"/>
  <c r="D1100" i="1"/>
  <c r="A1101" i="1"/>
  <c r="D1101" i="1"/>
  <c r="A1102" i="1"/>
  <c r="D1102" i="1"/>
  <c r="A1103" i="1"/>
  <c r="D1103" i="1"/>
  <c r="A1104" i="1"/>
  <c r="D1104" i="1"/>
  <c r="A1105" i="1"/>
  <c r="D1105" i="1"/>
  <c r="A1106" i="1"/>
  <c r="D1106" i="1"/>
  <c r="A1107" i="1"/>
  <c r="D1107" i="1"/>
  <c r="A1108" i="1"/>
  <c r="D1108" i="1"/>
  <c r="A1109" i="1"/>
  <c r="D1109" i="1"/>
  <c r="A1110" i="1"/>
  <c r="D1110" i="1"/>
  <c r="A1111" i="1"/>
  <c r="D1111" i="1"/>
  <c r="A1112" i="1"/>
  <c r="D1112" i="1"/>
  <c r="A1113" i="1"/>
  <c r="D1113" i="1"/>
  <c r="A1114" i="1"/>
  <c r="D1114" i="1"/>
  <c r="A1115" i="1"/>
  <c r="D1115" i="1"/>
  <c r="A1116" i="1"/>
  <c r="D1116" i="1"/>
  <c r="A1117" i="1"/>
  <c r="D1117" i="1"/>
  <c r="A1118" i="1"/>
  <c r="D1118" i="1"/>
  <c r="A1119" i="1"/>
  <c r="D1119" i="1"/>
  <c r="A1120" i="1"/>
  <c r="D1120" i="1"/>
  <c r="A1121" i="1"/>
  <c r="D1121" i="1"/>
  <c r="A1122" i="1"/>
  <c r="D1122" i="1"/>
  <c r="A1123" i="1"/>
  <c r="D1123" i="1"/>
  <c r="A1124" i="1"/>
  <c r="D1124" i="1"/>
  <c r="A1125" i="1"/>
  <c r="D1125" i="1"/>
  <c r="A1126" i="1"/>
  <c r="D1126" i="1"/>
  <c r="A1127" i="1"/>
  <c r="D1127" i="1"/>
  <c r="A1128" i="1"/>
  <c r="D1128" i="1"/>
  <c r="A1129" i="1"/>
  <c r="D1129" i="1"/>
  <c r="A1130" i="1"/>
  <c r="D1130" i="1"/>
  <c r="A1131" i="1"/>
  <c r="D1131" i="1"/>
  <c r="A1132" i="1"/>
  <c r="D1132" i="1"/>
  <c r="A1133" i="1"/>
  <c r="D1133" i="1"/>
  <c r="A1134" i="1"/>
  <c r="D1134" i="1"/>
  <c r="A1135" i="1"/>
  <c r="D1135" i="1"/>
  <c r="A1136" i="1"/>
  <c r="D1136" i="1"/>
  <c r="A1137" i="1"/>
  <c r="D1137" i="1"/>
  <c r="A1138" i="1"/>
  <c r="D1138" i="1"/>
  <c r="A1139" i="1"/>
  <c r="D1139" i="1"/>
  <c r="A1140" i="1"/>
  <c r="D1140" i="1"/>
  <c r="A1141" i="1"/>
  <c r="D1141" i="1"/>
  <c r="A1142" i="1"/>
  <c r="D1142" i="1"/>
  <c r="A1143" i="1"/>
  <c r="D1143" i="1"/>
  <c r="A1144" i="1"/>
  <c r="D1144" i="1"/>
  <c r="A1145" i="1"/>
  <c r="D1145" i="1"/>
  <c r="A1146" i="1"/>
  <c r="D1146" i="1"/>
  <c r="A1147" i="1"/>
  <c r="D1147" i="1"/>
  <c r="A1148" i="1"/>
  <c r="D1148" i="1"/>
  <c r="A1149" i="1"/>
  <c r="D1149" i="1"/>
  <c r="A1150" i="1"/>
  <c r="D1150" i="1"/>
  <c r="A1151" i="1"/>
  <c r="D1151" i="1"/>
  <c r="A1152" i="1"/>
  <c r="D1152" i="1"/>
  <c r="A1153" i="1"/>
  <c r="D1153" i="1"/>
  <c r="A1154" i="1"/>
  <c r="D1154" i="1"/>
  <c r="A1155" i="1"/>
  <c r="D1155" i="1"/>
  <c r="A1156" i="1"/>
  <c r="D1156" i="1"/>
  <c r="A1157" i="1"/>
  <c r="D1157" i="1"/>
  <c r="A1158" i="1"/>
  <c r="D1158" i="1"/>
  <c r="A1159" i="1"/>
  <c r="D1159" i="1"/>
  <c r="A1160" i="1"/>
  <c r="D1160" i="1"/>
  <c r="A1161" i="1"/>
  <c r="D1161" i="1"/>
  <c r="A1162" i="1"/>
  <c r="D1162" i="1"/>
  <c r="A1163" i="1"/>
  <c r="D1163" i="1"/>
  <c r="A1164" i="1"/>
  <c r="D1164" i="1"/>
  <c r="A1165" i="1"/>
  <c r="D1165" i="1"/>
  <c r="A1166" i="1"/>
  <c r="D1166" i="1"/>
  <c r="A1167" i="1"/>
  <c r="D1167" i="1"/>
  <c r="A1168" i="1"/>
  <c r="D1168" i="1"/>
  <c r="A1169" i="1"/>
  <c r="D1169" i="1"/>
  <c r="A1170" i="1"/>
  <c r="D1170" i="1"/>
  <c r="A1171" i="1"/>
  <c r="D1171" i="1"/>
  <c r="A1172" i="1"/>
  <c r="D1172" i="1"/>
  <c r="A1173" i="1"/>
  <c r="D1173" i="1"/>
  <c r="A1174" i="1"/>
  <c r="D1174" i="1"/>
  <c r="A1175" i="1"/>
  <c r="D1175" i="1"/>
  <c r="A1176" i="1"/>
  <c r="D1176" i="1"/>
  <c r="A1177" i="1"/>
  <c r="D1177" i="1"/>
  <c r="A1178" i="1"/>
  <c r="D1178" i="1"/>
  <c r="A1179" i="1"/>
  <c r="D1179" i="1"/>
  <c r="A1180" i="1"/>
  <c r="D1180" i="1"/>
  <c r="A1181" i="1"/>
  <c r="D1181" i="1"/>
  <c r="A1182" i="1"/>
  <c r="D1182" i="1"/>
  <c r="A1183" i="1"/>
  <c r="D1183" i="1"/>
  <c r="A1184" i="1"/>
  <c r="D1184" i="1"/>
  <c r="A1185" i="1"/>
  <c r="D1185" i="1"/>
  <c r="A1186" i="1"/>
  <c r="D1186" i="1"/>
  <c r="A1187" i="1"/>
  <c r="D1187" i="1"/>
  <c r="A1188" i="1"/>
  <c r="D1188" i="1"/>
  <c r="A1189" i="1"/>
  <c r="D1189" i="1"/>
  <c r="A1190" i="1"/>
  <c r="D1190" i="1"/>
  <c r="A1191" i="1"/>
  <c r="D1191" i="1"/>
  <c r="A1192" i="1"/>
  <c r="D1192" i="1"/>
  <c r="A1193" i="1"/>
  <c r="D1193" i="1"/>
  <c r="A1194" i="1"/>
  <c r="D1194" i="1"/>
  <c r="A1195" i="1"/>
  <c r="D1195" i="1"/>
  <c r="A1196" i="1"/>
  <c r="D1196" i="1"/>
  <c r="A1197" i="1"/>
  <c r="D1197" i="1"/>
  <c r="A1198" i="1"/>
  <c r="D1198" i="1"/>
  <c r="A1199" i="1"/>
  <c r="D1199" i="1"/>
  <c r="A1200" i="1"/>
  <c r="D1200" i="1"/>
  <c r="A1201" i="1"/>
  <c r="D1201" i="1"/>
  <c r="A1202" i="1"/>
  <c r="D1202" i="1"/>
  <c r="A1203" i="1"/>
  <c r="D1203" i="1"/>
  <c r="A1204" i="1"/>
  <c r="D1204" i="1"/>
  <c r="A1205" i="1"/>
  <c r="D1205" i="1"/>
  <c r="A1206" i="1"/>
  <c r="D1206" i="1"/>
  <c r="A1207" i="1"/>
  <c r="D1207" i="1"/>
  <c r="A1208" i="1"/>
  <c r="D1208" i="1"/>
  <c r="A1209" i="1"/>
  <c r="D1209" i="1"/>
  <c r="A1210" i="1"/>
  <c r="D1210" i="1"/>
  <c r="A1211" i="1"/>
  <c r="D1211" i="1"/>
  <c r="A1212" i="1"/>
  <c r="D1212" i="1"/>
  <c r="A1213" i="1"/>
  <c r="D1213" i="1"/>
  <c r="A1214" i="1"/>
  <c r="D1214" i="1"/>
  <c r="A1215" i="1"/>
  <c r="D1215" i="1"/>
  <c r="A1216" i="1"/>
  <c r="D1216" i="1"/>
  <c r="A1217" i="1"/>
  <c r="D1217" i="1"/>
  <c r="A1218" i="1"/>
  <c r="D1218" i="1"/>
  <c r="A1219" i="1"/>
  <c r="D1219" i="1"/>
  <c r="A1220" i="1"/>
  <c r="D1220" i="1"/>
  <c r="A1221" i="1"/>
  <c r="D1221" i="1"/>
  <c r="A1222" i="1"/>
  <c r="D1222" i="1"/>
  <c r="A1223" i="1"/>
  <c r="D1223" i="1"/>
  <c r="A1224" i="1"/>
  <c r="D1224" i="1"/>
  <c r="A1225" i="1"/>
  <c r="D1225" i="1"/>
  <c r="A1226" i="1"/>
  <c r="D1226" i="1"/>
  <c r="A1227" i="1"/>
  <c r="D1227" i="1"/>
  <c r="A1228" i="1"/>
  <c r="D1228" i="1"/>
  <c r="A1229" i="1"/>
  <c r="D1229" i="1"/>
  <c r="A1230" i="1"/>
  <c r="D1230" i="1"/>
  <c r="A1231" i="1"/>
  <c r="D1231" i="1"/>
  <c r="A1232" i="1"/>
  <c r="D1232" i="1"/>
  <c r="A1233" i="1"/>
  <c r="D1233" i="1"/>
  <c r="A1234" i="1"/>
  <c r="D1234" i="1"/>
  <c r="A1235" i="1"/>
  <c r="D1235" i="1"/>
  <c r="A1236" i="1"/>
  <c r="D1236" i="1"/>
  <c r="A1237" i="1"/>
  <c r="D1237" i="1"/>
  <c r="A1238" i="1"/>
  <c r="D1238" i="1"/>
  <c r="A1239" i="1"/>
  <c r="D1239" i="1"/>
  <c r="A1240" i="1"/>
  <c r="D1240" i="1"/>
  <c r="A1241" i="1"/>
  <c r="D1241" i="1"/>
  <c r="A1242" i="1"/>
  <c r="D1242" i="1"/>
  <c r="A1243" i="1"/>
  <c r="D1243" i="1"/>
  <c r="A1244" i="1"/>
  <c r="D1244" i="1"/>
  <c r="A1245" i="1"/>
  <c r="D1245" i="1"/>
  <c r="A1246" i="1"/>
  <c r="D1246" i="1"/>
  <c r="A1247" i="1"/>
  <c r="D1247" i="1"/>
  <c r="A1248" i="1"/>
  <c r="D1248" i="1"/>
  <c r="A1249" i="1"/>
  <c r="D1249" i="1"/>
  <c r="A1250" i="1"/>
  <c r="D1250" i="1"/>
  <c r="A1251" i="1"/>
  <c r="D1251" i="1"/>
  <c r="A1252" i="1"/>
  <c r="D1252" i="1"/>
  <c r="A1253" i="1"/>
  <c r="D1253" i="1"/>
  <c r="A1254" i="1"/>
  <c r="D1254" i="1"/>
  <c r="A1255" i="1"/>
  <c r="D1255" i="1"/>
  <c r="A1256" i="1"/>
  <c r="D1256" i="1"/>
  <c r="A1257" i="1"/>
  <c r="D1257" i="1"/>
  <c r="A1258" i="1"/>
  <c r="D1258" i="1"/>
  <c r="A1259" i="1"/>
  <c r="D1259" i="1"/>
  <c r="A1260" i="1"/>
  <c r="D1260" i="1"/>
  <c r="A1261" i="1"/>
  <c r="D1261" i="1"/>
  <c r="A1262" i="1"/>
  <c r="D1262" i="1"/>
  <c r="A1263" i="1"/>
  <c r="D1263" i="1"/>
  <c r="A1264" i="1"/>
  <c r="D1264" i="1"/>
  <c r="A1265" i="1"/>
  <c r="D1265" i="1"/>
  <c r="A1266" i="1"/>
  <c r="D1266" i="1"/>
  <c r="A1267" i="1"/>
  <c r="D1267" i="1"/>
  <c r="A1268" i="1"/>
  <c r="D1268" i="1"/>
  <c r="A1269" i="1"/>
  <c r="D1269" i="1"/>
  <c r="A1270" i="1"/>
  <c r="D1270" i="1"/>
  <c r="A1271" i="1"/>
  <c r="D1271" i="1"/>
  <c r="A1272" i="1"/>
  <c r="D1272" i="1"/>
  <c r="A1273" i="1"/>
  <c r="D1273" i="1"/>
  <c r="A1274" i="1"/>
  <c r="D1274" i="1"/>
  <c r="A1275" i="1"/>
  <c r="D1275" i="1"/>
  <c r="A1276" i="1"/>
  <c r="D1276" i="1"/>
  <c r="A1277" i="1"/>
  <c r="D1277" i="1"/>
  <c r="A1278" i="1"/>
  <c r="D1278" i="1"/>
  <c r="A1279" i="1"/>
  <c r="D1279" i="1"/>
  <c r="A1280" i="1"/>
  <c r="D1280" i="1"/>
  <c r="A1281" i="1"/>
  <c r="D1281" i="1"/>
  <c r="A1282" i="1"/>
  <c r="D1282" i="1"/>
  <c r="A1283" i="1"/>
  <c r="D1283" i="1"/>
  <c r="A1284" i="1"/>
  <c r="D1284" i="1"/>
  <c r="A1285" i="1"/>
  <c r="D1285" i="1"/>
  <c r="A1286" i="1"/>
  <c r="D1286" i="1"/>
  <c r="A1287" i="1"/>
  <c r="D1287" i="1"/>
  <c r="A1288" i="1"/>
  <c r="D1288" i="1"/>
  <c r="A1289" i="1"/>
  <c r="D1289" i="1"/>
  <c r="A1290" i="1"/>
  <c r="D1290" i="1"/>
  <c r="A1291" i="1"/>
  <c r="D1291" i="1"/>
  <c r="A1292" i="1"/>
  <c r="D1292" i="1"/>
  <c r="A1293" i="1"/>
  <c r="D1293" i="1"/>
  <c r="A1294" i="1"/>
  <c r="D1294" i="1"/>
  <c r="A1295" i="1"/>
  <c r="D1295" i="1"/>
  <c r="A1296" i="1"/>
  <c r="D1296" i="1"/>
  <c r="A1297" i="1"/>
  <c r="D1297" i="1"/>
  <c r="A1298" i="1"/>
  <c r="D1298" i="1"/>
  <c r="A1299" i="1"/>
  <c r="D1299" i="1"/>
  <c r="A1300" i="1"/>
  <c r="D1300" i="1"/>
  <c r="A1301" i="1"/>
  <c r="D1301" i="1"/>
  <c r="A1302" i="1"/>
  <c r="D1302" i="1"/>
  <c r="A1303" i="1"/>
  <c r="D1303" i="1"/>
  <c r="A1304" i="1"/>
  <c r="D1304" i="1"/>
  <c r="A1305" i="1"/>
  <c r="D1305" i="1"/>
  <c r="A1306" i="1"/>
  <c r="D1306" i="1"/>
  <c r="A1307" i="1"/>
  <c r="D1307" i="1"/>
  <c r="A1308" i="1"/>
  <c r="D1308" i="1"/>
  <c r="A1309" i="1"/>
  <c r="D1309" i="1"/>
  <c r="A1310" i="1"/>
  <c r="D1310" i="1"/>
  <c r="A1311" i="1"/>
  <c r="D1311" i="1"/>
  <c r="A1312" i="1"/>
  <c r="D1312" i="1"/>
  <c r="A1313" i="1"/>
  <c r="D1313" i="1"/>
  <c r="A1314" i="1"/>
  <c r="D1314" i="1"/>
  <c r="A1315" i="1"/>
  <c r="D1315" i="1"/>
  <c r="A1316" i="1"/>
  <c r="D1316" i="1"/>
  <c r="A1317" i="1"/>
  <c r="D1317" i="1"/>
  <c r="A1318" i="1"/>
  <c r="D1318" i="1"/>
  <c r="A1319" i="1"/>
  <c r="D1319" i="1"/>
  <c r="A1320" i="1"/>
  <c r="D1320" i="1"/>
  <c r="A1321" i="1"/>
  <c r="D1321" i="1"/>
  <c r="A1322" i="1"/>
  <c r="D1322" i="1"/>
  <c r="A1323" i="1"/>
  <c r="D1323" i="1"/>
  <c r="A1324" i="1"/>
  <c r="D1324" i="1"/>
  <c r="A1325" i="1"/>
  <c r="D1325" i="1"/>
  <c r="A1326" i="1"/>
  <c r="D1326" i="1"/>
  <c r="A1327" i="1"/>
  <c r="D1327" i="1"/>
  <c r="A1328" i="1"/>
  <c r="D1328" i="1"/>
  <c r="A1329" i="1"/>
  <c r="D1329" i="1"/>
  <c r="A1330" i="1"/>
  <c r="D1330" i="1"/>
  <c r="A1331" i="1"/>
  <c r="D1331" i="1"/>
  <c r="A1332" i="1"/>
  <c r="D1332" i="1"/>
  <c r="A1333" i="1"/>
  <c r="D1333" i="1"/>
  <c r="A1334" i="1"/>
  <c r="D1334" i="1"/>
  <c r="A1335" i="1"/>
  <c r="D1335" i="1"/>
  <c r="A1336" i="1"/>
  <c r="D1336" i="1"/>
  <c r="A1337" i="1"/>
  <c r="D1337" i="1"/>
  <c r="A1338" i="1"/>
  <c r="D1338" i="1"/>
  <c r="A1339" i="1"/>
  <c r="D1339" i="1"/>
  <c r="A1340" i="1"/>
  <c r="D1340" i="1"/>
  <c r="A1341" i="1"/>
  <c r="D1341" i="1"/>
  <c r="A1342" i="1"/>
  <c r="D1342" i="1"/>
  <c r="A1343" i="1"/>
  <c r="D1343" i="1"/>
  <c r="A1344" i="1"/>
  <c r="D1344" i="1"/>
  <c r="A1345" i="1"/>
  <c r="D1345" i="1"/>
  <c r="A1346" i="1"/>
  <c r="D1346" i="1"/>
  <c r="A1347" i="1"/>
  <c r="D1347" i="1"/>
  <c r="A1348" i="1"/>
  <c r="D1348" i="1"/>
  <c r="A1349" i="1"/>
  <c r="D1349" i="1"/>
  <c r="A1350" i="1"/>
  <c r="D1350" i="1"/>
  <c r="A1351" i="1"/>
  <c r="D1351" i="1"/>
  <c r="A1352" i="1"/>
  <c r="D1352" i="1"/>
  <c r="A1353" i="1"/>
  <c r="D1353" i="1"/>
  <c r="A1354" i="1"/>
  <c r="D1354" i="1"/>
  <c r="A1355" i="1"/>
  <c r="D1355" i="1"/>
  <c r="A1356" i="1"/>
  <c r="D1356" i="1"/>
  <c r="A1357" i="1"/>
  <c r="D1357" i="1"/>
  <c r="A1358" i="1"/>
  <c r="D1358" i="1"/>
  <c r="A1359" i="1"/>
  <c r="D1359" i="1"/>
  <c r="A1360" i="1"/>
  <c r="D1360" i="1"/>
  <c r="A1361" i="1"/>
  <c r="D1361" i="1"/>
  <c r="A1362" i="1"/>
  <c r="D1362" i="1"/>
  <c r="A1363" i="1"/>
  <c r="D1363" i="1"/>
  <c r="A1364" i="1"/>
  <c r="D1364" i="1"/>
  <c r="A1365" i="1"/>
  <c r="D1365" i="1"/>
  <c r="A1366" i="1"/>
  <c r="D1366" i="1"/>
  <c r="A1367" i="1"/>
  <c r="D1367" i="1"/>
  <c r="A1368" i="1"/>
  <c r="D1368" i="1"/>
  <c r="A1369" i="1"/>
  <c r="D1369" i="1"/>
  <c r="A1370" i="1"/>
  <c r="D1370" i="1"/>
  <c r="A1371" i="1"/>
  <c r="D1371" i="1"/>
  <c r="A1372" i="1"/>
  <c r="D1372" i="1"/>
  <c r="A1373" i="1"/>
  <c r="D1373" i="1"/>
  <c r="A1374" i="1"/>
  <c r="D1374" i="1"/>
  <c r="A1375" i="1"/>
  <c r="D1375" i="1"/>
  <c r="A1376" i="1"/>
  <c r="D1376" i="1"/>
  <c r="A1377" i="1"/>
  <c r="D1377" i="1"/>
  <c r="A1378" i="1"/>
  <c r="D1378" i="1"/>
  <c r="A1379" i="1"/>
  <c r="D1379" i="1"/>
  <c r="A1380" i="1"/>
  <c r="D1380" i="1"/>
  <c r="A1381" i="1"/>
  <c r="D1381" i="1"/>
  <c r="A1382" i="1"/>
  <c r="D1382" i="1"/>
  <c r="A1383" i="1"/>
  <c r="D1383" i="1"/>
  <c r="A1384" i="1"/>
  <c r="D1384" i="1"/>
  <c r="A1385" i="1"/>
  <c r="D1385" i="1"/>
  <c r="A1386" i="1"/>
  <c r="D1386" i="1"/>
  <c r="A1387" i="1"/>
  <c r="D1387" i="1"/>
  <c r="A1388" i="1"/>
  <c r="D1388" i="1"/>
  <c r="A1389" i="1"/>
  <c r="D1389" i="1"/>
  <c r="A1390" i="1"/>
  <c r="D1390" i="1"/>
  <c r="A1391" i="1"/>
  <c r="D1391" i="1"/>
  <c r="A1392" i="1"/>
  <c r="D1392" i="1"/>
  <c r="A1393" i="1"/>
  <c r="D1393" i="1"/>
  <c r="A1394" i="1"/>
  <c r="D1394" i="1"/>
  <c r="A1395" i="1"/>
  <c r="D1395" i="1"/>
  <c r="A1396" i="1"/>
  <c r="D1396" i="1"/>
  <c r="A1397" i="1"/>
  <c r="D1397" i="1"/>
  <c r="A1398" i="1"/>
  <c r="D1398" i="1"/>
  <c r="A1399" i="1"/>
  <c r="D1399" i="1"/>
  <c r="A1400" i="1"/>
  <c r="D1400" i="1"/>
  <c r="A1401" i="1"/>
  <c r="D1401" i="1"/>
  <c r="A1402" i="1"/>
  <c r="D1402" i="1"/>
  <c r="A1403" i="1"/>
  <c r="D1403" i="1"/>
  <c r="A1404" i="1"/>
  <c r="D1404" i="1"/>
  <c r="A1405" i="1"/>
  <c r="D1405" i="1"/>
  <c r="A1406" i="1"/>
  <c r="D1406" i="1"/>
  <c r="A1407" i="1"/>
  <c r="D1407" i="1"/>
  <c r="A1408" i="1"/>
  <c r="D1408" i="1"/>
  <c r="A1409" i="1"/>
  <c r="D1409" i="1"/>
  <c r="A1410" i="1"/>
  <c r="D1410" i="1"/>
  <c r="A1411" i="1"/>
  <c r="D1411" i="1"/>
  <c r="A1412" i="1"/>
  <c r="D1412" i="1"/>
  <c r="A1413" i="1"/>
  <c r="D1413" i="1"/>
  <c r="A1414" i="1"/>
  <c r="D1414" i="1"/>
  <c r="A1415" i="1"/>
  <c r="D1415" i="1"/>
  <c r="A1416" i="1"/>
  <c r="D1416" i="1"/>
  <c r="A1417" i="1"/>
  <c r="D1417" i="1"/>
  <c r="A1418" i="1"/>
  <c r="D1418" i="1"/>
  <c r="A1419" i="1"/>
  <c r="D1419" i="1"/>
  <c r="A1420" i="1"/>
  <c r="D1420" i="1"/>
  <c r="A1421" i="1"/>
  <c r="D1421" i="1"/>
  <c r="A1422" i="1"/>
  <c r="D1422" i="1"/>
  <c r="A1423" i="1"/>
  <c r="D1423" i="1"/>
  <c r="A1424" i="1"/>
  <c r="D1424" i="1"/>
  <c r="A1425" i="1"/>
  <c r="D1425" i="1"/>
  <c r="A1426" i="1"/>
  <c r="D1426" i="1"/>
  <c r="A1427" i="1"/>
  <c r="D1427" i="1"/>
  <c r="A1428" i="1"/>
  <c r="D1428" i="1"/>
  <c r="A1429" i="1"/>
  <c r="D1429" i="1"/>
  <c r="A1430" i="1"/>
  <c r="D1430" i="1"/>
  <c r="A1431" i="1"/>
  <c r="D1431" i="1"/>
  <c r="A1432" i="1"/>
  <c r="D1432" i="1"/>
  <c r="A1433" i="1"/>
  <c r="D1433" i="1"/>
  <c r="A1434" i="1"/>
  <c r="D1434" i="1"/>
  <c r="A1435" i="1"/>
  <c r="D1435" i="1"/>
  <c r="A1436" i="1"/>
  <c r="D1436" i="1"/>
  <c r="A1437" i="1"/>
  <c r="D1437" i="1"/>
  <c r="A1438" i="1"/>
  <c r="D1438" i="1"/>
  <c r="A1439" i="1"/>
  <c r="D1439" i="1"/>
  <c r="A1440" i="1"/>
  <c r="D1440" i="1"/>
  <c r="A1441" i="1"/>
  <c r="D1441" i="1"/>
  <c r="A1442" i="1"/>
  <c r="D1442" i="1"/>
  <c r="A1443" i="1"/>
  <c r="D1443" i="1"/>
  <c r="A1444" i="1"/>
  <c r="D1444" i="1"/>
  <c r="A1445" i="1"/>
  <c r="D1445" i="1"/>
  <c r="A1446" i="1"/>
  <c r="D1446" i="1"/>
  <c r="A1447" i="1"/>
  <c r="D1447" i="1"/>
  <c r="A1448" i="1"/>
  <c r="D1448" i="1"/>
  <c r="A1449" i="1"/>
  <c r="D1449" i="1"/>
  <c r="A1450" i="1"/>
  <c r="D1450" i="1"/>
  <c r="A1451" i="1"/>
  <c r="D1451" i="1"/>
  <c r="A1452" i="1"/>
  <c r="D1452" i="1"/>
  <c r="A1453" i="1"/>
  <c r="D1453" i="1"/>
  <c r="A1454" i="1"/>
  <c r="D1454" i="1"/>
  <c r="A1455" i="1"/>
  <c r="D1455" i="1"/>
  <c r="A1456" i="1"/>
  <c r="D1456" i="1"/>
  <c r="A1457" i="1"/>
  <c r="D1457" i="1"/>
  <c r="A1458" i="1"/>
  <c r="D1458" i="1"/>
  <c r="A1459" i="1"/>
  <c r="D1459" i="1"/>
  <c r="A1460" i="1"/>
  <c r="D1460" i="1"/>
  <c r="A1461" i="1"/>
  <c r="D1461" i="1"/>
  <c r="A1462" i="1"/>
  <c r="D1462" i="1"/>
  <c r="A1463" i="1"/>
  <c r="D1463" i="1"/>
  <c r="A1464" i="1"/>
  <c r="D1464" i="1"/>
  <c r="A1465" i="1"/>
  <c r="D1465" i="1"/>
  <c r="A1466" i="1"/>
  <c r="D1466" i="1"/>
  <c r="A1467" i="1"/>
  <c r="D1467" i="1"/>
  <c r="A1468" i="1"/>
  <c r="D1468" i="1"/>
  <c r="A1469" i="1"/>
  <c r="D1469" i="1"/>
  <c r="A1470" i="1"/>
  <c r="D1470" i="1"/>
  <c r="A1471" i="1"/>
  <c r="D1471" i="1"/>
  <c r="A1472" i="1"/>
  <c r="D1472" i="1"/>
  <c r="A1473" i="1"/>
  <c r="D1473" i="1"/>
  <c r="A1474" i="1"/>
  <c r="D1474" i="1"/>
  <c r="A1475" i="1"/>
  <c r="D1475" i="1"/>
  <c r="A1476" i="1"/>
  <c r="D1476" i="1"/>
  <c r="A1477" i="1"/>
  <c r="D1477" i="1"/>
  <c r="A1478" i="1"/>
  <c r="D1478" i="1"/>
  <c r="A1479" i="1"/>
  <c r="D1479" i="1"/>
  <c r="A1480" i="1"/>
  <c r="D1480" i="1"/>
  <c r="A1481" i="1"/>
  <c r="D1481" i="1"/>
  <c r="A1482" i="1"/>
  <c r="D1482" i="1"/>
  <c r="A1483" i="1"/>
  <c r="D1483" i="1"/>
  <c r="A1484" i="1"/>
  <c r="D1484" i="1"/>
  <c r="A1485" i="1"/>
  <c r="D1485" i="1"/>
  <c r="A1486" i="1"/>
  <c r="D1486" i="1"/>
  <c r="A1487" i="1"/>
  <c r="D1487" i="1"/>
  <c r="A1488" i="1"/>
  <c r="D1488" i="1"/>
  <c r="A1489" i="1"/>
  <c r="D1489" i="1"/>
  <c r="A1490" i="1"/>
  <c r="D1490" i="1"/>
  <c r="A1491" i="1"/>
  <c r="D1491" i="1"/>
  <c r="A1492" i="1"/>
  <c r="D1492" i="1"/>
  <c r="A1493" i="1"/>
  <c r="D1493" i="1"/>
  <c r="A1494" i="1"/>
  <c r="D1494" i="1"/>
  <c r="A1495" i="1"/>
  <c r="D1495" i="1"/>
  <c r="A1496" i="1"/>
  <c r="D1496" i="1"/>
  <c r="A1497" i="1"/>
  <c r="D1497" i="1"/>
  <c r="A1498" i="1"/>
  <c r="D1498" i="1"/>
  <c r="A1499" i="1"/>
  <c r="D1499" i="1"/>
  <c r="A1500" i="1"/>
  <c r="D1500" i="1"/>
  <c r="A1501" i="1"/>
  <c r="D1501" i="1"/>
  <c r="A1502" i="1"/>
  <c r="D1502" i="1"/>
  <c r="A1503" i="1"/>
  <c r="D1503" i="1"/>
  <c r="A1504" i="1"/>
  <c r="D1504" i="1"/>
  <c r="A1505" i="1"/>
  <c r="D1505" i="1"/>
  <c r="A1506" i="1"/>
  <c r="D1506" i="1"/>
  <c r="A1507" i="1"/>
  <c r="D1507" i="1"/>
  <c r="A1508" i="1"/>
  <c r="D1508" i="1"/>
  <c r="A1509" i="1"/>
  <c r="D1509" i="1"/>
  <c r="A1510" i="1"/>
  <c r="D1510" i="1"/>
  <c r="A1511" i="1"/>
  <c r="D1511" i="1"/>
  <c r="A1512" i="1"/>
  <c r="D1512" i="1"/>
  <c r="A1513" i="1"/>
  <c r="D1513" i="1"/>
  <c r="A1514" i="1"/>
  <c r="D1514" i="1"/>
  <c r="A1515" i="1"/>
  <c r="D1515" i="1"/>
  <c r="A1516" i="1"/>
  <c r="D1516" i="1"/>
  <c r="A1517" i="1"/>
  <c r="D1517" i="1"/>
  <c r="A1518" i="1"/>
  <c r="D1518" i="1"/>
  <c r="A1519" i="1"/>
  <c r="D1519" i="1"/>
  <c r="A1520" i="1"/>
  <c r="D1520" i="1"/>
  <c r="A1521" i="1"/>
  <c r="D1521" i="1"/>
  <c r="A1522" i="1"/>
  <c r="D1522" i="1"/>
  <c r="A1523" i="1"/>
  <c r="D1523" i="1"/>
  <c r="A1524" i="1"/>
  <c r="D1524" i="1"/>
  <c r="A1525" i="1"/>
  <c r="D1525" i="1"/>
  <c r="A1526" i="1"/>
  <c r="D1526" i="1"/>
  <c r="A1527" i="1"/>
  <c r="D1527" i="1"/>
  <c r="A1528" i="1"/>
  <c r="D1528" i="1"/>
  <c r="A1529" i="1"/>
  <c r="D1529" i="1"/>
  <c r="A1530" i="1"/>
  <c r="D1530" i="1"/>
  <c r="A1531" i="1"/>
  <c r="D1531" i="1"/>
  <c r="A1532" i="1"/>
  <c r="D1532" i="1"/>
  <c r="A1533" i="1"/>
  <c r="D1533" i="1"/>
  <c r="A1534" i="1"/>
  <c r="D1534" i="1"/>
  <c r="A1535" i="1"/>
  <c r="D1535" i="1"/>
  <c r="A1536" i="1"/>
  <c r="D1536" i="1"/>
  <c r="A1537" i="1"/>
  <c r="D1537" i="1"/>
  <c r="A1538" i="1"/>
  <c r="D1538" i="1"/>
  <c r="A1539" i="1"/>
  <c r="D1539" i="1"/>
  <c r="A1540" i="1"/>
  <c r="D1540" i="1"/>
  <c r="A1541" i="1"/>
  <c r="D1541" i="1"/>
  <c r="A1542" i="1"/>
  <c r="D1542" i="1"/>
  <c r="A1543" i="1"/>
  <c r="D1543" i="1"/>
  <c r="A1544" i="1"/>
  <c r="D1544" i="1"/>
  <c r="A1545" i="1"/>
  <c r="D1545" i="1"/>
  <c r="A1546" i="1"/>
  <c r="D1546" i="1"/>
  <c r="A1547" i="1"/>
  <c r="D1547" i="1"/>
  <c r="A1548" i="1"/>
  <c r="D1548" i="1"/>
  <c r="A1549" i="1"/>
  <c r="D1549" i="1"/>
  <c r="A1550" i="1"/>
  <c r="D1550" i="1"/>
  <c r="A1551" i="1"/>
  <c r="D1551" i="1"/>
  <c r="A1552" i="1"/>
  <c r="D1552" i="1"/>
  <c r="A1553" i="1"/>
  <c r="D1553" i="1"/>
  <c r="A1554" i="1"/>
  <c r="D1554" i="1"/>
  <c r="A1555" i="1"/>
  <c r="D1555" i="1"/>
  <c r="A1556" i="1"/>
  <c r="D1556" i="1"/>
  <c r="A1557" i="1"/>
  <c r="D1557" i="1"/>
  <c r="A1558" i="1"/>
  <c r="D1558" i="1"/>
  <c r="A1559" i="1"/>
  <c r="D1559" i="1"/>
  <c r="A1560" i="1"/>
  <c r="D1560" i="1"/>
  <c r="A1561" i="1"/>
  <c r="D1561" i="1"/>
  <c r="A1562" i="1"/>
  <c r="D1562" i="1"/>
  <c r="A1563" i="1"/>
  <c r="D1563" i="1"/>
  <c r="A1564" i="1"/>
  <c r="D1564" i="1"/>
  <c r="A1565" i="1"/>
  <c r="D1565" i="1"/>
  <c r="A1566" i="1"/>
  <c r="D1566" i="1"/>
  <c r="A1567" i="1"/>
  <c r="D1567" i="1"/>
  <c r="A1568" i="1"/>
  <c r="D1568" i="1"/>
  <c r="A1569" i="1"/>
  <c r="D1569" i="1"/>
  <c r="A1570" i="1"/>
  <c r="D1570" i="1"/>
  <c r="A1571" i="1"/>
  <c r="D1571" i="1"/>
  <c r="A1572" i="1"/>
  <c r="D1572" i="1"/>
  <c r="A1573" i="1"/>
  <c r="D1573" i="1"/>
  <c r="A1574" i="1"/>
  <c r="D1574" i="1"/>
  <c r="A1575" i="1"/>
  <c r="D1575" i="1"/>
  <c r="A1576" i="1"/>
  <c r="D1576" i="1"/>
  <c r="A1577" i="1"/>
  <c r="D1577" i="1"/>
  <c r="A1578" i="1"/>
  <c r="D1578" i="1"/>
  <c r="A1579" i="1"/>
  <c r="D1579" i="1"/>
  <c r="A1580" i="1"/>
  <c r="D1580" i="1"/>
  <c r="A1581" i="1"/>
  <c r="D1581" i="1"/>
  <c r="A1582" i="1"/>
  <c r="D1582" i="1"/>
  <c r="A1583" i="1"/>
  <c r="D1583" i="1"/>
  <c r="A1584" i="1"/>
  <c r="D1584" i="1"/>
  <c r="A1585" i="1"/>
  <c r="D1585" i="1"/>
  <c r="A1586" i="1"/>
  <c r="D1586" i="1"/>
  <c r="A1587" i="1"/>
  <c r="D1587" i="1"/>
  <c r="A1588" i="1"/>
  <c r="D1588" i="1"/>
  <c r="A1589" i="1"/>
  <c r="D1589" i="1"/>
  <c r="A1590" i="1"/>
  <c r="D1590" i="1"/>
  <c r="A1591" i="1"/>
  <c r="D1591" i="1"/>
  <c r="A1592" i="1"/>
  <c r="D1592" i="1"/>
  <c r="A1593" i="1"/>
  <c r="D1593" i="1"/>
  <c r="A1594" i="1"/>
  <c r="D1594" i="1"/>
  <c r="A1595" i="1"/>
  <c r="D1595" i="1"/>
  <c r="A1596" i="1"/>
  <c r="D1596" i="1"/>
  <c r="A1597" i="1"/>
  <c r="D1597" i="1"/>
  <c r="A1598" i="1"/>
  <c r="D1598" i="1"/>
  <c r="A1599" i="1"/>
  <c r="D1599" i="1"/>
  <c r="A1600" i="1"/>
  <c r="D1600" i="1"/>
  <c r="A1601" i="1"/>
  <c r="D1601" i="1"/>
  <c r="A1602" i="1"/>
  <c r="D1602" i="1"/>
  <c r="A1603" i="1"/>
  <c r="D1603" i="1"/>
  <c r="A1604" i="1"/>
  <c r="D1604" i="1"/>
  <c r="A1605" i="1"/>
  <c r="D1605" i="1"/>
  <c r="A1606" i="1"/>
  <c r="D1606" i="1"/>
  <c r="A1607" i="1"/>
  <c r="D1607" i="1"/>
  <c r="A1608" i="1"/>
  <c r="D1608" i="1"/>
  <c r="A1609" i="1"/>
  <c r="D1609" i="1"/>
  <c r="A1610" i="1"/>
  <c r="D1610" i="1"/>
  <c r="A1611" i="1"/>
  <c r="D1611" i="1"/>
  <c r="A1612" i="1"/>
  <c r="D1612" i="1"/>
  <c r="A1613" i="1"/>
  <c r="D1613" i="1"/>
  <c r="A1614" i="1"/>
  <c r="D1614" i="1"/>
  <c r="A1615" i="1"/>
  <c r="D1615" i="1"/>
  <c r="A1616" i="1"/>
  <c r="D1616" i="1"/>
  <c r="A1617" i="1"/>
  <c r="D1617" i="1"/>
  <c r="A1618" i="1"/>
  <c r="D1618" i="1"/>
  <c r="A1619" i="1"/>
  <c r="D1619" i="1"/>
  <c r="A1620" i="1"/>
  <c r="D1620" i="1"/>
  <c r="A1621" i="1"/>
  <c r="D1621" i="1"/>
  <c r="A1622" i="1"/>
  <c r="D1622" i="1"/>
  <c r="A1623" i="1"/>
  <c r="D1623" i="1"/>
  <c r="A1624" i="1"/>
  <c r="D1624" i="1"/>
  <c r="A1625" i="1"/>
  <c r="D1625" i="1"/>
  <c r="A1626" i="1"/>
  <c r="D1626" i="1"/>
  <c r="A1627" i="1"/>
  <c r="D1627" i="1"/>
  <c r="A1628" i="1"/>
  <c r="D1628" i="1"/>
  <c r="A1629" i="1"/>
  <c r="D1629" i="1"/>
  <c r="A1630" i="1"/>
  <c r="D1630" i="1"/>
  <c r="A1631" i="1"/>
  <c r="D1631" i="1"/>
  <c r="A1632" i="1"/>
  <c r="D1632" i="1"/>
  <c r="A1633" i="1"/>
  <c r="D1633" i="1"/>
  <c r="A1634" i="1"/>
  <c r="D1634" i="1"/>
  <c r="A1635" i="1"/>
  <c r="D1635" i="1"/>
  <c r="A1636" i="1"/>
  <c r="D1636" i="1"/>
  <c r="A1637" i="1"/>
  <c r="D1637" i="1"/>
  <c r="A1638" i="1"/>
  <c r="D1638" i="1"/>
  <c r="A1639" i="1"/>
  <c r="D1639" i="1"/>
  <c r="A1640" i="1"/>
  <c r="D1640" i="1"/>
  <c r="A1641" i="1"/>
  <c r="D1641" i="1"/>
  <c r="A1642" i="1"/>
  <c r="D1642" i="1"/>
  <c r="A1643" i="1"/>
  <c r="D1643" i="1"/>
  <c r="A1644" i="1"/>
  <c r="D1644" i="1"/>
  <c r="A1645" i="1"/>
  <c r="D1645" i="1"/>
  <c r="A1646" i="1"/>
  <c r="D1646" i="1"/>
  <c r="A1647" i="1"/>
  <c r="D1647" i="1"/>
  <c r="A1648" i="1"/>
  <c r="D1648" i="1"/>
  <c r="A1649" i="1"/>
  <c r="D1649" i="1"/>
  <c r="A1650" i="1"/>
  <c r="D1650" i="1"/>
  <c r="A1651" i="1"/>
  <c r="D1651" i="1"/>
  <c r="A1652" i="1"/>
  <c r="D1652" i="1"/>
  <c r="A1653" i="1"/>
  <c r="D1653" i="1"/>
  <c r="A1654" i="1"/>
  <c r="D1654" i="1"/>
  <c r="A1655" i="1"/>
  <c r="D1655" i="1"/>
  <c r="A1656" i="1"/>
  <c r="D1656" i="1"/>
  <c r="A1657" i="1"/>
  <c r="D1657" i="1"/>
  <c r="A1658" i="1"/>
  <c r="D1658" i="1"/>
  <c r="A1659" i="1"/>
  <c r="D1659" i="1"/>
  <c r="A1660" i="1"/>
  <c r="D1660" i="1"/>
  <c r="A1661" i="1"/>
  <c r="D1661" i="1"/>
  <c r="A1662" i="1"/>
  <c r="D1662" i="1"/>
  <c r="A1663" i="1"/>
  <c r="D1663" i="1"/>
  <c r="A1664" i="1"/>
  <c r="D1664" i="1"/>
  <c r="A1665" i="1"/>
  <c r="D1665" i="1"/>
  <c r="A1666" i="1"/>
  <c r="D1666" i="1"/>
  <c r="A1667" i="1"/>
  <c r="D1667" i="1"/>
  <c r="A1668" i="1"/>
  <c r="D1668" i="1"/>
  <c r="A1669" i="1"/>
  <c r="D1669" i="1"/>
  <c r="A1670" i="1"/>
  <c r="D1670" i="1"/>
  <c r="A1671" i="1"/>
  <c r="D1671" i="1"/>
  <c r="A1672" i="1"/>
  <c r="D1672" i="1"/>
  <c r="A1673" i="1"/>
  <c r="D1673" i="1"/>
  <c r="A1674" i="1"/>
  <c r="D1674" i="1"/>
  <c r="A1675" i="1"/>
  <c r="D1675" i="1"/>
  <c r="A1676" i="1"/>
  <c r="D1676" i="1"/>
  <c r="A1677" i="1"/>
  <c r="D1677" i="1"/>
  <c r="A1678" i="1"/>
  <c r="D1678" i="1"/>
  <c r="A1679" i="1"/>
  <c r="D1679" i="1"/>
  <c r="A1680" i="1"/>
  <c r="D1680" i="1"/>
  <c r="A1681" i="1"/>
  <c r="D1681" i="1"/>
  <c r="A1682" i="1"/>
  <c r="D1682" i="1"/>
  <c r="A1683" i="1"/>
  <c r="D1683" i="1"/>
  <c r="A1684" i="1"/>
  <c r="D1684" i="1"/>
  <c r="A1685" i="1"/>
  <c r="D1685" i="1"/>
  <c r="A1686" i="1"/>
  <c r="D1686" i="1"/>
  <c r="A1687" i="1"/>
  <c r="D1687" i="1"/>
  <c r="A1688" i="1"/>
  <c r="D1688" i="1"/>
  <c r="A1689" i="1"/>
  <c r="D1689" i="1"/>
  <c r="A1690" i="1"/>
  <c r="D1690" i="1"/>
  <c r="A1691" i="1"/>
  <c r="D1691" i="1"/>
  <c r="A1692" i="1"/>
  <c r="D1692" i="1"/>
  <c r="A1693" i="1"/>
  <c r="D1693" i="1"/>
  <c r="A1694" i="1"/>
  <c r="D1694" i="1"/>
  <c r="A1695" i="1"/>
  <c r="D1695" i="1"/>
  <c r="A1696" i="1"/>
  <c r="D1696" i="1"/>
  <c r="A1697" i="1"/>
  <c r="D1697" i="1"/>
  <c r="A1698" i="1"/>
  <c r="D1698" i="1"/>
  <c r="A1699" i="1"/>
  <c r="D1699" i="1"/>
  <c r="A1700" i="1"/>
  <c r="D1700" i="1"/>
  <c r="A1701" i="1"/>
  <c r="D1701" i="1"/>
  <c r="A1702" i="1"/>
  <c r="D1702" i="1"/>
  <c r="A1703" i="1"/>
  <c r="D1703" i="1"/>
  <c r="A1704" i="1"/>
  <c r="D1704" i="1"/>
  <c r="A1705" i="1"/>
  <c r="D1705" i="1"/>
  <c r="A1706" i="1"/>
  <c r="D1706" i="1"/>
  <c r="A1707" i="1"/>
  <c r="D1707" i="1"/>
  <c r="A1708" i="1"/>
  <c r="D1708" i="1"/>
  <c r="A1709" i="1"/>
  <c r="D1709" i="1"/>
  <c r="A1710" i="1"/>
  <c r="D1710" i="1"/>
  <c r="A1711" i="1"/>
  <c r="D1711" i="1"/>
  <c r="A1712" i="1"/>
  <c r="D1712" i="1"/>
  <c r="A1713" i="1"/>
  <c r="D1713" i="1"/>
  <c r="A1714" i="1"/>
  <c r="D1714" i="1"/>
  <c r="A1715" i="1"/>
  <c r="D1715" i="1"/>
  <c r="A1716" i="1"/>
  <c r="D1716" i="1"/>
  <c r="A1717" i="1"/>
  <c r="D1717" i="1"/>
  <c r="A1718" i="1"/>
  <c r="D1718" i="1"/>
  <c r="A1719" i="1"/>
  <c r="D1719" i="1"/>
  <c r="A1720" i="1"/>
  <c r="D1720" i="1"/>
  <c r="A1721" i="1"/>
  <c r="D1721" i="1"/>
  <c r="A1722" i="1"/>
  <c r="D1722" i="1"/>
  <c r="A1723" i="1"/>
  <c r="D1723" i="1"/>
  <c r="A1724" i="1"/>
  <c r="D1724" i="1"/>
  <c r="A1725" i="1"/>
  <c r="D1725" i="1"/>
  <c r="A1726" i="1"/>
  <c r="D1726" i="1"/>
  <c r="A1727" i="1"/>
  <c r="D1727" i="1"/>
  <c r="A1728" i="1"/>
  <c r="D1728" i="1"/>
  <c r="A1729" i="1"/>
  <c r="D1729" i="1"/>
  <c r="A1730" i="1"/>
  <c r="D1730" i="1"/>
  <c r="A1731" i="1"/>
  <c r="D1731" i="1"/>
  <c r="A1732" i="1"/>
  <c r="D1732" i="1"/>
  <c r="A1733" i="1"/>
  <c r="D1733" i="1"/>
  <c r="A1734" i="1"/>
  <c r="D1734" i="1"/>
  <c r="A1735" i="1"/>
  <c r="D1735" i="1"/>
  <c r="A1736" i="1"/>
  <c r="D1736" i="1"/>
  <c r="A1737" i="1"/>
  <c r="D1737" i="1"/>
  <c r="A1738" i="1"/>
  <c r="D1738" i="1"/>
  <c r="A1739" i="1"/>
  <c r="D1739" i="1"/>
  <c r="A1740" i="1"/>
  <c r="D1740" i="1"/>
  <c r="A1741" i="1"/>
  <c r="D1741" i="1"/>
  <c r="A1742" i="1"/>
  <c r="D1742" i="1"/>
  <c r="A1743" i="1"/>
  <c r="D1743" i="1"/>
  <c r="A1744" i="1"/>
  <c r="D1744" i="1"/>
  <c r="A1745" i="1"/>
  <c r="D1745" i="1"/>
  <c r="A1746" i="1"/>
  <c r="D1746" i="1"/>
  <c r="A1747" i="1"/>
  <c r="D1747" i="1"/>
  <c r="A1748" i="1"/>
  <c r="D1748" i="1"/>
  <c r="A1749" i="1"/>
  <c r="D1749" i="1"/>
  <c r="A1750" i="1"/>
  <c r="D1750" i="1"/>
  <c r="A1751" i="1"/>
  <c r="D1751" i="1"/>
  <c r="A1752" i="1"/>
  <c r="D1752" i="1"/>
  <c r="A1753" i="1"/>
  <c r="D1753" i="1"/>
  <c r="A1754" i="1"/>
  <c r="D1754" i="1"/>
  <c r="A1755" i="1"/>
  <c r="D1755" i="1"/>
  <c r="A1756" i="1"/>
  <c r="D1756" i="1"/>
  <c r="A1757" i="1"/>
  <c r="D1757" i="1"/>
  <c r="A1758" i="1"/>
  <c r="D1758" i="1"/>
  <c r="A1759" i="1"/>
  <c r="D1759" i="1"/>
  <c r="A1760" i="1"/>
  <c r="D1760" i="1"/>
  <c r="A1761" i="1"/>
  <c r="D1761" i="1"/>
  <c r="A1762" i="1"/>
  <c r="D1762" i="1"/>
  <c r="A1763" i="1"/>
  <c r="D1763" i="1"/>
  <c r="A1764" i="1"/>
  <c r="D1764" i="1"/>
  <c r="A1765" i="1"/>
  <c r="D1765" i="1"/>
  <c r="A1766" i="1"/>
  <c r="D1766" i="1"/>
  <c r="A1767" i="1"/>
  <c r="D1767" i="1"/>
  <c r="A1768" i="1"/>
  <c r="D1768" i="1"/>
  <c r="A1769" i="1"/>
  <c r="D1769" i="1"/>
  <c r="A1770" i="1"/>
  <c r="D1770" i="1"/>
  <c r="A1771" i="1"/>
  <c r="D1771" i="1"/>
  <c r="A1772" i="1"/>
  <c r="D1772" i="1"/>
  <c r="A1773" i="1"/>
  <c r="D1773" i="1"/>
  <c r="A1774" i="1"/>
  <c r="D1774" i="1"/>
  <c r="A1775" i="1"/>
  <c r="D1775" i="1"/>
  <c r="A1776" i="1"/>
  <c r="D1776" i="1"/>
  <c r="A1777" i="1"/>
  <c r="D1777" i="1"/>
  <c r="A1778" i="1"/>
  <c r="D1778" i="1"/>
  <c r="A1779" i="1"/>
  <c r="D1779" i="1"/>
  <c r="A1780" i="1"/>
  <c r="D1780" i="1"/>
  <c r="A1781" i="1"/>
  <c r="D1781" i="1"/>
  <c r="A1782" i="1"/>
  <c r="D1782" i="1"/>
  <c r="A1783" i="1"/>
  <c r="D1783" i="1"/>
  <c r="A1784" i="1"/>
  <c r="D1784" i="1"/>
  <c r="A1785" i="1"/>
  <c r="D1785" i="1"/>
  <c r="A1786" i="1"/>
  <c r="D1786" i="1"/>
  <c r="A1787" i="1"/>
  <c r="D1787" i="1"/>
  <c r="A1788" i="1"/>
  <c r="D1788" i="1"/>
  <c r="A1789" i="1"/>
  <c r="D1789" i="1"/>
  <c r="A1790" i="1"/>
  <c r="D1790" i="1"/>
  <c r="A1791" i="1"/>
  <c r="D1791" i="1"/>
  <c r="A1792" i="1"/>
  <c r="D1792" i="1"/>
  <c r="A1793" i="1"/>
  <c r="D1793" i="1"/>
  <c r="A1794" i="1"/>
  <c r="D1794" i="1"/>
  <c r="A1795" i="1"/>
  <c r="D1795" i="1"/>
  <c r="A1796" i="1"/>
  <c r="D1796" i="1"/>
  <c r="A1797" i="1"/>
  <c r="D1797" i="1"/>
  <c r="A1798" i="1"/>
  <c r="D1798" i="1"/>
  <c r="A1799" i="1"/>
  <c r="D1799" i="1"/>
  <c r="A1800" i="1"/>
  <c r="D1800" i="1"/>
  <c r="A1801" i="1"/>
  <c r="D1801" i="1"/>
  <c r="A1802" i="1"/>
  <c r="D1802" i="1"/>
  <c r="A1803" i="1"/>
  <c r="D1803" i="1"/>
  <c r="A1804" i="1"/>
  <c r="D1804" i="1"/>
  <c r="A1805" i="1"/>
  <c r="D1805" i="1"/>
  <c r="A1806" i="1"/>
  <c r="D1806" i="1"/>
  <c r="A1807" i="1"/>
  <c r="D1807" i="1"/>
  <c r="A1808" i="1"/>
  <c r="D1808" i="1"/>
  <c r="A1809" i="1"/>
  <c r="D1809" i="1"/>
  <c r="A1810" i="1"/>
  <c r="D1810" i="1"/>
  <c r="A1811" i="1"/>
  <c r="D1811" i="1"/>
  <c r="A1812" i="1"/>
  <c r="D1812" i="1"/>
  <c r="A1813" i="1"/>
  <c r="D1813" i="1"/>
  <c r="A1814" i="1"/>
  <c r="D1814" i="1"/>
  <c r="A1815" i="1"/>
  <c r="D1815" i="1"/>
  <c r="A1816" i="1"/>
  <c r="D1816" i="1"/>
  <c r="A1817" i="1"/>
  <c r="D1817" i="1"/>
  <c r="A1818" i="1"/>
  <c r="D1818" i="1"/>
  <c r="A1819" i="1"/>
  <c r="D1819" i="1"/>
  <c r="A1820" i="1"/>
  <c r="D1820" i="1"/>
  <c r="A1821" i="1"/>
  <c r="D1821" i="1"/>
  <c r="A1822" i="1"/>
  <c r="D1822" i="1"/>
  <c r="A1823" i="1"/>
  <c r="D1823" i="1"/>
  <c r="A1824" i="1"/>
  <c r="D1824" i="1"/>
  <c r="A1825" i="1"/>
  <c r="D1825" i="1"/>
  <c r="A1826" i="1"/>
  <c r="D1826" i="1"/>
  <c r="A1827" i="1"/>
  <c r="D1827" i="1"/>
  <c r="A1828" i="1"/>
  <c r="D1828" i="1"/>
  <c r="A1829" i="1"/>
  <c r="D1829" i="1"/>
  <c r="A1830" i="1"/>
  <c r="D1830" i="1"/>
  <c r="A1831" i="1"/>
  <c r="D1831" i="1"/>
  <c r="A1832" i="1"/>
  <c r="D1832" i="1"/>
  <c r="A1833" i="1"/>
  <c r="D1833" i="1"/>
  <c r="A1834" i="1"/>
  <c r="D1834" i="1"/>
  <c r="A1835" i="1"/>
  <c r="D1835" i="1"/>
  <c r="A1836" i="1"/>
  <c r="D1836" i="1"/>
  <c r="A1837" i="1"/>
  <c r="D1837" i="1"/>
  <c r="A1838" i="1"/>
  <c r="D1838" i="1"/>
  <c r="A1839" i="1"/>
  <c r="D1839" i="1"/>
  <c r="A1840" i="1"/>
  <c r="D1840" i="1"/>
  <c r="A1841" i="1"/>
  <c r="D1841" i="1"/>
  <c r="A1842" i="1"/>
  <c r="D1842" i="1"/>
  <c r="A1843" i="1"/>
  <c r="D1843" i="1"/>
  <c r="A1844" i="1"/>
  <c r="D1844" i="1"/>
  <c r="A1845" i="1"/>
  <c r="D1845" i="1"/>
  <c r="A1846" i="1"/>
  <c r="D1846" i="1"/>
  <c r="A1847" i="1"/>
  <c r="D1847" i="1"/>
  <c r="A1848" i="1"/>
  <c r="D1848" i="1"/>
  <c r="A1849" i="1"/>
  <c r="D1849" i="1"/>
  <c r="A1850" i="1"/>
  <c r="D1850" i="1"/>
  <c r="A1851" i="1"/>
  <c r="D1851" i="1"/>
  <c r="A1852" i="1"/>
  <c r="D1852" i="1"/>
  <c r="A1853" i="1"/>
  <c r="D1853" i="1"/>
  <c r="A1854" i="1"/>
  <c r="D1854" i="1"/>
  <c r="A1855" i="1"/>
  <c r="D1855" i="1"/>
  <c r="A1856" i="1"/>
  <c r="D1856" i="1"/>
  <c r="A1857" i="1"/>
  <c r="D1857" i="1"/>
  <c r="A1858" i="1"/>
  <c r="D1858" i="1"/>
  <c r="A1859" i="1"/>
  <c r="D1859" i="1"/>
  <c r="A1860" i="1"/>
  <c r="D1860" i="1"/>
  <c r="A1861" i="1"/>
  <c r="D1861" i="1"/>
  <c r="A1862" i="1"/>
  <c r="D1862" i="1"/>
  <c r="A1863" i="1"/>
  <c r="D1863" i="1"/>
  <c r="A1864" i="1"/>
  <c r="D1864" i="1"/>
  <c r="A1865" i="1"/>
  <c r="D1865" i="1"/>
  <c r="A1866" i="1"/>
  <c r="D1866" i="1"/>
  <c r="A1867" i="1"/>
  <c r="D1867" i="1"/>
  <c r="A1868" i="1"/>
  <c r="D1868" i="1"/>
  <c r="A1869" i="1"/>
  <c r="D1869" i="1"/>
  <c r="A1870" i="1"/>
  <c r="D1870" i="1"/>
  <c r="A1871" i="1"/>
  <c r="D1871" i="1"/>
  <c r="A1872" i="1"/>
  <c r="D1872" i="1"/>
  <c r="A1873" i="1"/>
  <c r="D1873" i="1"/>
  <c r="A1874" i="1"/>
  <c r="D1874" i="1"/>
  <c r="A1875" i="1"/>
  <c r="D1875" i="1"/>
  <c r="A1876" i="1"/>
  <c r="D1876" i="1"/>
  <c r="A1877" i="1"/>
  <c r="D1877" i="1"/>
  <c r="A1878" i="1"/>
  <c r="D1878" i="1"/>
  <c r="A1879" i="1"/>
  <c r="D1879" i="1"/>
  <c r="A1880" i="1"/>
  <c r="D1880" i="1"/>
  <c r="A1881" i="1"/>
  <c r="D1881" i="1"/>
  <c r="A1882" i="1"/>
  <c r="D1882" i="1"/>
  <c r="A1883" i="1"/>
  <c r="D1883" i="1"/>
  <c r="A1884" i="1"/>
  <c r="D1884" i="1"/>
  <c r="A1885" i="1"/>
  <c r="D1885" i="1"/>
  <c r="A1886" i="1"/>
  <c r="D1886" i="1"/>
  <c r="A1887" i="1"/>
  <c r="D1887" i="1"/>
  <c r="A1888" i="1"/>
  <c r="D1888" i="1"/>
  <c r="A1889" i="1"/>
  <c r="D1889" i="1"/>
  <c r="A1890" i="1"/>
  <c r="D1890" i="1"/>
  <c r="A1891" i="1"/>
  <c r="D1891" i="1"/>
  <c r="A1892" i="1"/>
  <c r="D1892" i="1"/>
  <c r="A1893" i="1"/>
  <c r="D1893" i="1"/>
  <c r="A1894" i="1"/>
  <c r="D1894" i="1"/>
  <c r="A1895" i="1"/>
  <c r="D1895" i="1"/>
  <c r="A1896" i="1"/>
  <c r="D1896" i="1"/>
  <c r="A1897" i="1"/>
  <c r="D1897" i="1"/>
  <c r="A1898" i="1"/>
  <c r="D1898" i="1"/>
  <c r="A1899" i="1"/>
  <c r="D1899" i="1"/>
  <c r="A1900" i="1"/>
  <c r="D1900" i="1"/>
  <c r="A1901" i="1"/>
  <c r="D1901" i="1"/>
  <c r="A1902" i="1"/>
  <c r="D1902" i="1"/>
  <c r="A1903" i="1"/>
  <c r="D1903" i="1"/>
  <c r="A1904" i="1"/>
  <c r="D1904" i="1"/>
  <c r="A1905" i="1"/>
  <c r="D1905" i="1"/>
  <c r="A1906" i="1"/>
  <c r="D1906" i="1"/>
  <c r="A1907" i="1"/>
  <c r="D1907" i="1"/>
  <c r="A1908" i="1"/>
  <c r="D1908" i="1"/>
  <c r="A1909" i="1"/>
  <c r="D1909" i="1"/>
  <c r="A1910" i="1"/>
  <c r="D1910" i="1"/>
  <c r="A1911" i="1"/>
  <c r="D1911" i="1"/>
  <c r="A1912" i="1"/>
  <c r="D1912" i="1"/>
  <c r="A1913" i="1"/>
  <c r="D1913" i="1"/>
  <c r="A1914" i="1"/>
  <c r="D1914" i="1"/>
  <c r="A1915" i="1"/>
  <c r="D1915" i="1"/>
  <c r="A1916" i="1"/>
  <c r="D1916" i="1"/>
  <c r="A1917" i="1"/>
  <c r="D1917" i="1"/>
  <c r="A1918" i="1"/>
  <c r="D1918" i="1"/>
  <c r="A1919" i="1"/>
  <c r="D1919" i="1"/>
  <c r="A1920" i="1"/>
  <c r="D1920" i="1"/>
  <c r="A1921" i="1"/>
  <c r="D1921" i="1"/>
  <c r="A1922" i="1"/>
  <c r="D1922" i="1"/>
  <c r="A1923" i="1"/>
  <c r="D1923" i="1"/>
  <c r="A1924" i="1"/>
  <c r="D1924" i="1"/>
  <c r="A1925" i="1"/>
  <c r="D1925" i="1"/>
  <c r="A1926" i="1"/>
  <c r="D1926" i="1"/>
  <c r="A1927" i="1"/>
  <c r="D1927" i="1"/>
  <c r="A1928" i="1"/>
  <c r="D1928" i="1"/>
  <c r="A1929" i="1"/>
  <c r="D1929" i="1"/>
  <c r="A1930" i="1"/>
  <c r="D1930" i="1"/>
  <c r="A1931" i="1"/>
  <c r="D1931" i="1"/>
  <c r="A1932" i="1"/>
  <c r="D1932" i="1"/>
  <c r="A1933" i="1"/>
  <c r="D1933" i="1"/>
  <c r="A1934" i="1"/>
  <c r="D1934" i="1"/>
  <c r="A1935" i="1"/>
  <c r="D1935" i="1"/>
  <c r="A1936" i="1"/>
  <c r="D1936" i="1"/>
  <c r="A1937" i="1"/>
  <c r="D1937" i="1"/>
  <c r="A1938" i="1"/>
  <c r="D1938" i="1"/>
  <c r="A1939" i="1"/>
  <c r="D1939" i="1"/>
  <c r="A1940" i="1"/>
  <c r="D1940" i="1"/>
  <c r="A1941" i="1"/>
  <c r="D1941" i="1"/>
  <c r="A1942" i="1"/>
  <c r="D1942" i="1"/>
  <c r="A1943" i="1"/>
  <c r="D1943" i="1"/>
  <c r="A1944" i="1"/>
  <c r="D1944" i="1"/>
  <c r="A1945" i="1"/>
  <c r="D1945" i="1"/>
  <c r="A1946" i="1"/>
  <c r="D1946" i="1"/>
  <c r="A1947" i="1"/>
  <c r="D1947" i="1"/>
  <c r="A1948" i="1"/>
  <c r="D1948" i="1"/>
  <c r="A1949" i="1"/>
  <c r="D1949" i="1"/>
  <c r="A1950" i="1"/>
  <c r="D1950" i="1"/>
  <c r="A1951" i="1"/>
  <c r="D1951" i="1"/>
  <c r="A1952" i="1"/>
  <c r="D1952" i="1"/>
  <c r="A1953" i="1"/>
  <c r="D1953" i="1"/>
  <c r="A1954" i="1"/>
  <c r="D1954" i="1"/>
  <c r="A1955" i="1"/>
  <c r="D1955" i="1"/>
  <c r="A1956" i="1"/>
  <c r="D1956" i="1"/>
  <c r="A1957" i="1"/>
  <c r="D1957" i="1"/>
  <c r="A1958" i="1"/>
  <c r="D1958" i="1"/>
  <c r="A1959" i="1"/>
  <c r="D1959" i="1"/>
  <c r="A1960" i="1"/>
  <c r="D1960" i="1"/>
  <c r="A1961" i="1"/>
  <c r="D1961" i="1"/>
  <c r="A1962" i="1"/>
  <c r="D1962" i="1"/>
  <c r="A1963" i="1"/>
  <c r="D1963" i="1"/>
  <c r="A1964" i="1"/>
  <c r="D1964" i="1"/>
  <c r="A1965" i="1"/>
  <c r="D1965" i="1"/>
  <c r="A1966" i="1"/>
  <c r="D1966" i="1"/>
  <c r="A1967" i="1"/>
  <c r="D1967" i="1"/>
  <c r="A1968" i="1"/>
  <c r="D1968" i="1"/>
  <c r="A1969" i="1"/>
  <c r="D1969" i="1"/>
  <c r="A1970" i="1"/>
  <c r="D1970" i="1"/>
  <c r="A1971" i="1"/>
  <c r="D1971" i="1"/>
  <c r="A1972" i="1"/>
  <c r="D1972" i="1"/>
  <c r="A1973" i="1"/>
  <c r="D1973" i="1"/>
  <c r="A1974" i="1"/>
  <c r="D1974" i="1"/>
  <c r="A1975" i="1"/>
  <c r="D1975" i="1"/>
  <c r="A1976" i="1"/>
  <c r="D1976" i="1"/>
  <c r="A1977" i="1"/>
  <c r="D1977" i="1"/>
  <c r="A1978" i="1"/>
  <c r="D1978" i="1"/>
  <c r="A1979" i="1"/>
  <c r="D1979" i="1"/>
  <c r="A1980" i="1"/>
  <c r="D1980" i="1"/>
  <c r="A1981" i="1"/>
  <c r="D1981" i="1"/>
  <c r="A1982" i="1"/>
  <c r="D1982" i="1"/>
  <c r="A1983" i="1"/>
  <c r="D1983" i="1"/>
  <c r="A1984" i="1"/>
  <c r="D1984" i="1"/>
  <c r="A1985" i="1"/>
  <c r="D1985" i="1"/>
  <c r="A1986" i="1"/>
  <c r="D1986" i="1"/>
  <c r="A1987" i="1"/>
  <c r="D1987" i="1"/>
  <c r="A1988" i="1"/>
  <c r="D1988" i="1"/>
  <c r="A1989" i="1"/>
  <c r="D1989" i="1"/>
  <c r="A1990" i="1"/>
  <c r="D1990" i="1"/>
  <c r="A1991" i="1"/>
  <c r="D1991" i="1"/>
  <c r="A1992" i="1"/>
  <c r="D1992" i="1"/>
  <c r="A1993" i="1"/>
  <c r="D1993" i="1"/>
  <c r="A1994" i="1"/>
  <c r="D1994" i="1"/>
  <c r="A1995" i="1"/>
  <c r="D1995" i="1"/>
  <c r="A1996" i="1"/>
  <c r="D1996" i="1"/>
  <c r="A1997" i="1"/>
  <c r="D1997" i="1"/>
  <c r="A1998" i="1"/>
  <c r="D1998" i="1"/>
  <c r="A1999" i="1"/>
  <c r="D1999" i="1"/>
  <c r="A2000" i="1"/>
  <c r="D2000" i="1"/>
  <c r="A2001" i="1"/>
  <c r="D2001" i="1"/>
  <c r="A2002" i="1"/>
  <c r="D2002" i="1"/>
  <c r="A2003" i="1"/>
  <c r="D2003" i="1"/>
  <c r="A2004" i="1"/>
  <c r="D2004" i="1"/>
  <c r="A2005" i="1"/>
  <c r="D2005" i="1"/>
  <c r="A2006" i="1"/>
  <c r="D2006" i="1"/>
  <c r="A2007" i="1"/>
  <c r="D2007" i="1"/>
  <c r="A2008" i="1"/>
  <c r="D2008" i="1"/>
  <c r="A2009" i="1"/>
  <c r="D2009" i="1"/>
  <c r="A2010" i="1"/>
  <c r="D2010" i="1"/>
  <c r="A2011" i="1"/>
  <c r="D2011" i="1"/>
  <c r="A2012" i="1"/>
  <c r="D2012" i="1"/>
  <c r="A2013" i="1"/>
  <c r="D2013" i="1"/>
  <c r="A2014" i="1"/>
  <c r="D2014" i="1"/>
  <c r="A2015" i="1"/>
  <c r="D2015" i="1"/>
  <c r="A2016" i="1"/>
  <c r="D2016" i="1"/>
  <c r="A2017" i="1"/>
  <c r="D2017" i="1"/>
  <c r="A2018" i="1"/>
  <c r="D2018" i="1"/>
  <c r="A2019" i="1"/>
  <c r="D2019" i="1"/>
  <c r="A2020" i="1"/>
  <c r="D2020" i="1"/>
  <c r="A2021" i="1"/>
  <c r="D2021" i="1"/>
  <c r="A2022" i="1"/>
  <c r="D2022" i="1"/>
  <c r="A2023" i="1"/>
  <c r="D2023" i="1"/>
  <c r="A2024" i="1"/>
  <c r="D2024" i="1"/>
  <c r="A2025" i="1"/>
  <c r="D2025" i="1"/>
  <c r="A2026" i="1"/>
  <c r="D2026" i="1"/>
  <c r="A2027" i="1"/>
  <c r="D2027" i="1"/>
  <c r="A2028" i="1"/>
  <c r="D2028" i="1"/>
  <c r="A2029" i="1"/>
  <c r="D2029" i="1"/>
  <c r="A2030" i="1"/>
  <c r="D2030" i="1"/>
  <c r="A2031" i="1"/>
  <c r="D2031" i="1"/>
  <c r="A2032" i="1"/>
  <c r="D2032" i="1"/>
  <c r="A2033" i="1"/>
  <c r="D2033" i="1"/>
  <c r="A2034" i="1"/>
  <c r="D2034" i="1"/>
  <c r="A2035" i="1"/>
  <c r="D2035" i="1"/>
  <c r="A2036" i="1"/>
  <c r="D2036" i="1"/>
  <c r="A2037" i="1"/>
  <c r="D2037" i="1"/>
  <c r="A2038" i="1"/>
  <c r="D2038" i="1"/>
  <c r="A2039" i="1"/>
  <c r="D2039" i="1"/>
  <c r="A2040" i="1"/>
  <c r="D2040" i="1"/>
  <c r="A2041" i="1"/>
  <c r="D2041" i="1"/>
  <c r="A2042" i="1"/>
  <c r="D2042" i="1"/>
  <c r="A2043" i="1"/>
  <c r="D2043" i="1"/>
  <c r="A2044" i="1"/>
  <c r="D2044" i="1"/>
  <c r="A2045" i="1"/>
  <c r="D2045" i="1"/>
  <c r="A2046" i="1"/>
  <c r="D2046" i="1"/>
  <c r="A2047" i="1"/>
  <c r="D2047" i="1"/>
  <c r="A2048" i="1"/>
  <c r="D2048" i="1"/>
  <c r="A2049" i="1"/>
  <c r="D2049" i="1"/>
  <c r="A2050" i="1"/>
  <c r="D2050" i="1"/>
  <c r="A2051" i="1"/>
  <c r="D2051" i="1"/>
  <c r="A2052" i="1"/>
  <c r="D2052" i="1"/>
  <c r="A2053" i="1"/>
  <c r="D2053" i="1"/>
  <c r="A2054" i="1"/>
  <c r="D2054" i="1"/>
  <c r="A2055" i="1"/>
  <c r="D2055" i="1"/>
  <c r="A2056" i="1"/>
  <c r="D2056" i="1"/>
  <c r="A2057" i="1"/>
  <c r="D2057" i="1"/>
  <c r="A2058" i="1"/>
  <c r="D2058" i="1"/>
  <c r="A2059" i="1"/>
  <c r="D2059" i="1"/>
  <c r="A2060" i="1"/>
  <c r="D2060" i="1"/>
  <c r="A2061" i="1"/>
  <c r="D2061" i="1"/>
  <c r="A2062" i="1"/>
  <c r="D2062" i="1"/>
  <c r="A2063" i="1"/>
  <c r="D2063" i="1"/>
  <c r="A2064" i="1"/>
  <c r="D2064" i="1"/>
  <c r="A2065" i="1"/>
  <c r="D2065" i="1"/>
  <c r="A2066" i="1"/>
  <c r="D2066" i="1"/>
  <c r="A2067" i="1"/>
  <c r="D2067" i="1"/>
  <c r="A2068" i="1"/>
  <c r="D2068" i="1"/>
  <c r="A2069" i="1"/>
  <c r="D2069" i="1"/>
  <c r="A2070" i="1"/>
  <c r="D2070" i="1"/>
  <c r="A2071" i="1"/>
  <c r="D2071" i="1"/>
  <c r="A2072" i="1"/>
  <c r="D2072" i="1"/>
  <c r="A2073" i="1"/>
  <c r="D2073" i="1"/>
  <c r="A2074" i="1"/>
  <c r="D2074" i="1"/>
  <c r="A2075" i="1"/>
  <c r="D2075" i="1"/>
  <c r="A2076" i="1"/>
  <c r="D2076" i="1"/>
  <c r="A2077" i="1"/>
  <c r="D2077" i="1"/>
  <c r="A2078" i="1"/>
  <c r="D2078" i="1"/>
  <c r="A2079" i="1"/>
  <c r="D2079" i="1"/>
  <c r="A2080" i="1"/>
  <c r="D2080" i="1"/>
  <c r="A2081" i="1"/>
  <c r="D2081" i="1"/>
  <c r="A2082" i="1"/>
  <c r="D2082" i="1"/>
  <c r="A2083" i="1"/>
  <c r="D2083" i="1"/>
  <c r="A2084" i="1"/>
  <c r="D2084" i="1"/>
  <c r="A2085" i="1"/>
  <c r="D2085" i="1"/>
  <c r="A2086" i="1"/>
  <c r="D2086" i="1"/>
  <c r="A2087" i="1"/>
  <c r="D2087" i="1"/>
  <c r="A2088" i="1"/>
  <c r="D2088" i="1"/>
  <c r="A2089" i="1"/>
  <c r="D2089" i="1"/>
  <c r="A2090" i="1"/>
  <c r="D2090" i="1"/>
  <c r="A2091" i="1"/>
  <c r="D2091" i="1"/>
  <c r="A2092" i="1"/>
  <c r="D2092" i="1"/>
  <c r="A2093" i="1"/>
  <c r="D2093" i="1"/>
  <c r="A2094" i="1"/>
  <c r="D2094" i="1"/>
  <c r="A2095" i="1"/>
  <c r="D2095" i="1"/>
  <c r="A2096" i="1"/>
  <c r="D2096" i="1"/>
  <c r="A2097" i="1"/>
  <c r="D2097" i="1"/>
  <c r="A2098" i="1"/>
  <c r="D2098" i="1"/>
  <c r="A2099" i="1"/>
  <c r="D2099" i="1"/>
  <c r="A2100" i="1"/>
  <c r="D2100" i="1"/>
  <c r="A2101" i="1"/>
  <c r="D2101" i="1"/>
  <c r="A2102" i="1"/>
  <c r="D2102" i="1"/>
  <c r="A2103" i="1"/>
  <c r="D2103" i="1"/>
  <c r="A2104" i="1"/>
  <c r="D2104" i="1"/>
  <c r="A2105" i="1"/>
  <c r="D2105" i="1"/>
  <c r="A2106" i="1"/>
  <c r="D2106" i="1"/>
  <c r="A2107" i="1"/>
  <c r="D2107" i="1"/>
  <c r="A2108" i="1"/>
  <c r="D2108" i="1"/>
  <c r="A2109" i="1"/>
  <c r="D2109" i="1"/>
  <c r="A2110" i="1"/>
  <c r="D2110" i="1"/>
  <c r="A2111" i="1"/>
  <c r="D2111" i="1"/>
  <c r="A2112" i="1"/>
  <c r="D2112" i="1"/>
  <c r="A2113" i="1"/>
  <c r="D2113" i="1"/>
  <c r="A2114" i="1"/>
  <c r="D2114" i="1"/>
  <c r="A2115" i="1"/>
  <c r="D2115" i="1"/>
  <c r="A2116" i="1"/>
  <c r="D2116" i="1"/>
  <c r="A2117" i="1"/>
  <c r="D2117" i="1"/>
  <c r="A2118" i="1"/>
  <c r="D2118" i="1"/>
  <c r="A2119" i="1"/>
  <c r="D2119" i="1"/>
  <c r="A2120" i="1"/>
  <c r="D2120" i="1"/>
  <c r="A2121" i="1"/>
  <c r="D2121" i="1"/>
  <c r="A2122" i="1"/>
  <c r="D2122" i="1"/>
  <c r="A2123" i="1"/>
  <c r="D2123" i="1"/>
  <c r="A2124" i="1"/>
  <c r="D2124" i="1"/>
  <c r="A2125" i="1"/>
  <c r="D2125" i="1"/>
  <c r="A2126" i="1"/>
  <c r="D2126" i="1"/>
  <c r="A2127" i="1"/>
  <c r="D2127" i="1"/>
  <c r="A2128" i="1"/>
  <c r="D2128" i="1"/>
  <c r="A2129" i="1"/>
  <c r="D2129" i="1"/>
  <c r="A2130" i="1"/>
  <c r="D2130" i="1"/>
  <c r="A2131" i="1"/>
  <c r="D2131" i="1"/>
  <c r="A2132" i="1"/>
  <c r="D2132" i="1"/>
  <c r="A2133" i="1"/>
  <c r="D2133" i="1"/>
  <c r="A2134" i="1"/>
  <c r="D2134" i="1"/>
  <c r="A2135" i="1"/>
  <c r="D2135" i="1"/>
  <c r="A2136" i="1"/>
  <c r="D2136" i="1"/>
  <c r="A2137" i="1"/>
  <c r="D2137" i="1"/>
  <c r="A2138" i="1"/>
  <c r="D2138" i="1"/>
  <c r="A2139" i="1"/>
  <c r="D2139" i="1"/>
  <c r="A2140" i="1"/>
  <c r="D2140" i="1"/>
  <c r="A2141" i="1"/>
  <c r="D2141" i="1"/>
  <c r="A2142" i="1"/>
  <c r="D2142" i="1"/>
  <c r="A2143" i="1"/>
  <c r="D2143" i="1"/>
  <c r="A2144" i="1"/>
  <c r="D2144" i="1"/>
  <c r="A2145" i="1"/>
  <c r="D2145" i="1"/>
  <c r="A2146" i="1"/>
  <c r="D2146" i="1"/>
  <c r="A2147" i="1"/>
  <c r="D2147" i="1"/>
  <c r="A2148" i="1"/>
  <c r="D2148" i="1"/>
  <c r="A2149" i="1"/>
  <c r="D2149" i="1"/>
  <c r="A2150" i="1"/>
  <c r="D2150" i="1"/>
  <c r="A2151" i="1"/>
  <c r="D2151" i="1"/>
  <c r="A2152" i="1"/>
  <c r="D2152" i="1"/>
  <c r="A2153" i="1"/>
  <c r="D2153" i="1"/>
  <c r="A2154" i="1"/>
  <c r="D2154" i="1"/>
  <c r="A2155" i="1"/>
  <c r="D2155" i="1"/>
  <c r="A2156" i="1"/>
  <c r="D2156" i="1"/>
  <c r="A2157" i="1"/>
  <c r="D2157" i="1"/>
  <c r="A2158" i="1"/>
  <c r="D2158" i="1"/>
  <c r="A2159" i="1"/>
  <c r="D2159" i="1"/>
  <c r="A2160" i="1"/>
  <c r="D2160" i="1"/>
  <c r="A2161" i="1"/>
  <c r="D2161" i="1"/>
  <c r="A2162" i="1"/>
  <c r="D2162" i="1"/>
  <c r="A2163" i="1"/>
  <c r="D2163" i="1"/>
  <c r="A2164" i="1"/>
  <c r="D2164" i="1"/>
  <c r="A2165" i="1"/>
  <c r="D2165" i="1"/>
  <c r="A2166" i="1"/>
  <c r="D2166" i="1"/>
  <c r="A2167" i="1"/>
  <c r="D2167" i="1"/>
  <c r="A2168" i="1"/>
  <c r="D2168" i="1"/>
  <c r="A2169" i="1"/>
  <c r="D2169" i="1"/>
  <c r="A2170" i="1"/>
  <c r="D2170" i="1"/>
  <c r="A2171" i="1"/>
  <c r="D2171" i="1"/>
  <c r="A2172" i="1"/>
  <c r="D2172" i="1"/>
  <c r="A2173" i="1"/>
  <c r="D2173" i="1"/>
  <c r="A2174" i="1"/>
  <c r="D2174" i="1"/>
  <c r="A2175" i="1"/>
  <c r="D2175" i="1"/>
  <c r="A2176" i="1"/>
  <c r="D2176" i="1"/>
  <c r="A2177" i="1"/>
  <c r="D2177" i="1"/>
  <c r="A2178" i="1"/>
  <c r="D2178" i="1"/>
  <c r="A2179" i="1"/>
  <c r="D2179" i="1"/>
  <c r="A2180" i="1"/>
  <c r="D2180" i="1"/>
  <c r="A2181" i="1"/>
  <c r="D2181" i="1"/>
  <c r="A2182" i="1"/>
  <c r="D2182" i="1"/>
  <c r="A2183" i="1"/>
  <c r="D2183" i="1"/>
  <c r="A2184" i="1"/>
  <c r="D2184" i="1"/>
  <c r="A2185" i="1"/>
  <c r="D2185" i="1"/>
  <c r="A2186" i="1"/>
  <c r="D2186" i="1"/>
  <c r="A2187" i="1"/>
  <c r="D2187" i="1"/>
  <c r="A2188" i="1"/>
  <c r="D2188" i="1"/>
  <c r="A2189" i="1"/>
  <c r="D2189" i="1"/>
  <c r="A2190" i="1"/>
  <c r="D2190" i="1"/>
  <c r="A2191" i="1"/>
  <c r="D2191" i="1"/>
  <c r="A2192" i="1"/>
  <c r="D2192" i="1"/>
  <c r="A2193" i="1"/>
  <c r="D2193" i="1"/>
  <c r="A2194" i="1"/>
  <c r="D2194" i="1"/>
  <c r="A2195" i="1"/>
  <c r="D2195" i="1"/>
  <c r="A2196" i="1"/>
  <c r="D2196" i="1"/>
  <c r="A2197" i="1"/>
  <c r="D2197" i="1"/>
  <c r="A2198" i="1"/>
  <c r="D2198" i="1"/>
  <c r="A2199" i="1"/>
  <c r="D2199" i="1"/>
  <c r="A2200" i="1"/>
  <c r="D2200" i="1"/>
  <c r="A2201" i="1"/>
  <c r="D2201" i="1"/>
  <c r="A2202" i="1"/>
  <c r="D2202" i="1"/>
  <c r="A2203" i="1"/>
  <c r="D2203" i="1"/>
  <c r="A2204" i="1"/>
  <c r="D2204" i="1"/>
  <c r="A2205" i="1"/>
  <c r="D2205" i="1"/>
  <c r="A2206" i="1"/>
  <c r="D2206" i="1"/>
  <c r="A2207" i="1"/>
  <c r="D2207" i="1"/>
  <c r="A2208" i="1"/>
  <c r="D2208" i="1"/>
  <c r="A2209" i="1"/>
  <c r="D2209" i="1"/>
  <c r="A2210" i="1"/>
  <c r="D2210" i="1"/>
  <c r="A2211" i="1"/>
  <c r="D2211" i="1"/>
  <c r="A2212" i="1"/>
  <c r="D2212" i="1"/>
  <c r="A2213" i="1"/>
  <c r="D2213" i="1"/>
  <c r="A2214" i="1"/>
  <c r="D2214" i="1"/>
  <c r="A2215" i="1"/>
  <c r="D2215" i="1"/>
  <c r="A2216" i="1"/>
  <c r="D2216" i="1"/>
  <c r="A2217" i="1"/>
  <c r="D2217" i="1"/>
  <c r="A2218" i="1"/>
  <c r="D2218" i="1"/>
  <c r="A2219" i="1"/>
  <c r="D2219" i="1"/>
  <c r="A2220" i="1"/>
  <c r="D2220" i="1"/>
  <c r="A2221" i="1"/>
  <c r="D2221" i="1"/>
  <c r="A2222" i="1"/>
  <c r="D2222" i="1"/>
  <c r="A2223" i="1"/>
  <c r="D2223" i="1"/>
  <c r="A2224" i="1"/>
  <c r="D2224" i="1"/>
  <c r="A2225" i="1"/>
  <c r="D2225" i="1"/>
  <c r="A2226" i="1"/>
  <c r="D2226" i="1"/>
  <c r="A2227" i="1"/>
  <c r="D2227" i="1"/>
  <c r="A2228" i="1"/>
  <c r="D2228" i="1"/>
  <c r="A2229" i="1"/>
  <c r="D2229" i="1"/>
  <c r="A2230" i="1"/>
  <c r="D2230" i="1"/>
  <c r="A2231" i="1"/>
  <c r="D2231" i="1"/>
  <c r="A2232" i="1"/>
  <c r="D2232" i="1"/>
  <c r="A2233" i="1"/>
  <c r="D2233" i="1"/>
  <c r="A2234" i="1"/>
  <c r="D2234" i="1"/>
  <c r="A2235" i="1"/>
  <c r="D2235" i="1"/>
  <c r="A2236" i="1"/>
  <c r="D2236" i="1"/>
  <c r="A2237" i="1"/>
  <c r="D2237" i="1"/>
  <c r="A2238" i="1"/>
  <c r="D2238" i="1"/>
  <c r="A2239" i="1"/>
  <c r="D2239" i="1"/>
  <c r="A2240" i="1"/>
  <c r="D2240" i="1"/>
  <c r="A2241" i="1"/>
  <c r="D2241" i="1"/>
  <c r="A2242" i="1"/>
  <c r="D2242" i="1"/>
  <c r="A2243" i="1"/>
  <c r="D2243" i="1"/>
  <c r="A2244" i="1"/>
  <c r="D2244" i="1"/>
  <c r="A2245" i="1"/>
  <c r="D2245" i="1"/>
  <c r="A2246" i="1"/>
  <c r="D2246" i="1"/>
  <c r="A2247" i="1"/>
  <c r="D2247" i="1"/>
  <c r="A2248" i="1"/>
  <c r="D2248" i="1"/>
  <c r="A2249" i="1"/>
  <c r="D2249" i="1"/>
  <c r="A2250" i="1"/>
  <c r="D2250" i="1"/>
  <c r="A2251" i="1"/>
  <c r="D2251" i="1"/>
  <c r="A2252" i="1"/>
  <c r="D2252" i="1"/>
  <c r="A2253" i="1"/>
  <c r="D2253" i="1"/>
  <c r="A2254" i="1"/>
  <c r="D2254" i="1"/>
  <c r="A2255" i="1"/>
  <c r="D2255" i="1"/>
  <c r="A2256" i="1"/>
  <c r="D2256" i="1"/>
  <c r="A2257" i="1"/>
  <c r="D2257" i="1"/>
  <c r="A2258" i="1"/>
  <c r="D2258" i="1"/>
  <c r="A2259" i="1"/>
  <c r="D2259" i="1"/>
  <c r="A2260" i="1"/>
  <c r="D2260" i="1"/>
  <c r="A2261" i="1"/>
  <c r="D2261" i="1"/>
  <c r="A2262" i="1"/>
  <c r="D2262" i="1"/>
  <c r="A2263" i="1"/>
  <c r="D2263" i="1"/>
  <c r="A2264" i="1"/>
  <c r="D2264" i="1"/>
  <c r="A2265" i="1"/>
  <c r="D2265" i="1"/>
  <c r="A2266" i="1"/>
  <c r="D2266" i="1"/>
  <c r="A2267" i="1"/>
  <c r="D2267" i="1"/>
  <c r="A2268" i="1"/>
  <c r="D2268" i="1"/>
  <c r="A2269" i="1"/>
  <c r="D2269" i="1"/>
  <c r="A2270" i="1"/>
  <c r="D2270" i="1"/>
  <c r="A2271" i="1"/>
  <c r="D2271" i="1"/>
  <c r="A2272" i="1"/>
  <c r="D2272" i="1"/>
  <c r="A2273" i="1"/>
  <c r="D2273" i="1"/>
  <c r="A2274" i="1"/>
  <c r="D2274" i="1"/>
  <c r="A2275" i="1"/>
  <c r="D2275" i="1"/>
  <c r="A2276" i="1"/>
  <c r="D2276" i="1"/>
  <c r="A2277" i="1"/>
  <c r="D2277" i="1"/>
  <c r="A2278" i="1"/>
  <c r="D2278" i="1"/>
  <c r="A2279" i="1"/>
  <c r="D2279" i="1"/>
  <c r="A2280" i="1"/>
  <c r="D2280" i="1"/>
  <c r="A2281" i="1"/>
  <c r="D2281" i="1"/>
  <c r="A2282" i="1"/>
  <c r="D2282" i="1"/>
  <c r="A2283" i="1"/>
  <c r="D2283" i="1"/>
  <c r="A2284" i="1"/>
  <c r="D2284" i="1"/>
  <c r="A2285" i="1"/>
  <c r="D2285" i="1"/>
  <c r="A2286" i="1"/>
  <c r="D2286" i="1"/>
  <c r="A2287" i="1"/>
  <c r="D2287" i="1"/>
  <c r="A2288" i="1"/>
  <c r="D2288" i="1"/>
  <c r="A2289" i="1"/>
  <c r="D2289" i="1"/>
  <c r="A2290" i="1"/>
  <c r="D2290" i="1"/>
  <c r="A2291" i="1"/>
  <c r="D2291" i="1"/>
  <c r="A2292" i="1"/>
  <c r="D2292" i="1"/>
  <c r="A2293" i="1"/>
  <c r="D2293" i="1"/>
  <c r="A2294" i="1"/>
  <c r="D2294" i="1"/>
  <c r="A2295" i="1"/>
  <c r="D2295" i="1"/>
  <c r="A2296" i="1"/>
  <c r="D2296" i="1"/>
  <c r="A2297" i="1"/>
  <c r="D2297" i="1"/>
  <c r="A2298" i="1"/>
  <c r="D2298" i="1"/>
  <c r="A2299" i="1"/>
  <c r="D2299" i="1"/>
  <c r="A2300" i="1"/>
  <c r="D2300" i="1"/>
  <c r="A2301" i="1"/>
  <c r="D2301" i="1"/>
  <c r="A2302" i="1"/>
  <c r="D2302" i="1"/>
  <c r="A2303" i="1"/>
  <c r="D2303" i="1"/>
  <c r="A2304" i="1"/>
  <c r="D2304" i="1"/>
  <c r="A2305" i="1"/>
  <c r="D2305" i="1"/>
  <c r="A2306" i="1"/>
  <c r="D2306" i="1"/>
  <c r="A2307" i="1"/>
  <c r="D2307" i="1"/>
  <c r="A2308" i="1"/>
  <c r="D2308" i="1"/>
  <c r="A2309" i="1"/>
  <c r="D2309" i="1"/>
  <c r="A2310" i="1"/>
  <c r="D2310" i="1"/>
  <c r="A2311" i="1"/>
  <c r="D2311" i="1"/>
  <c r="A2312" i="1"/>
  <c r="D2312" i="1"/>
  <c r="A2313" i="1"/>
  <c r="D2313" i="1"/>
  <c r="A2314" i="1"/>
  <c r="D2314" i="1"/>
  <c r="A2315" i="1"/>
  <c r="D2315" i="1"/>
  <c r="A2316" i="1"/>
  <c r="D2316" i="1"/>
  <c r="A2317" i="1"/>
  <c r="D2317" i="1"/>
  <c r="A2318" i="1"/>
  <c r="D2318" i="1"/>
  <c r="A2319" i="1"/>
  <c r="D2319" i="1"/>
  <c r="A2320" i="1"/>
  <c r="D2320" i="1"/>
  <c r="A2321" i="1"/>
  <c r="D2321" i="1"/>
  <c r="A2322" i="1"/>
  <c r="D2322" i="1"/>
  <c r="A2323" i="1"/>
  <c r="D2323" i="1"/>
  <c r="A2324" i="1"/>
  <c r="D2324" i="1"/>
  <c r="A2325" i="1"/>
  <c r="D2325" i="1"/>
  <c r="A2326" i="1"/>
  <c r="D2326" i="1"/>
  <c r="A2327" i="1"/>
  <c r="D2327" i="1"/>
  <c r="A2328" i="1"/>
  <c r="D2328" i="1"/>
  <c r="A2329" i="1"/>
  <c r="D2329" i="1"/>
  <c r="A2330" i="1"/>
  <c r="D2330" i="1"/>
  <c r="A2331" i="1"/>
  <c r="D2331" i="1"/>
  <c r="A2332" i="1"/>
  <c r="D2332" i="1"/>
  <c r="A2333" i="1"/>
  <c r="D2333" i="1"/>
  <c r="A2334" i="1"/>
  <c r="D2334" i="1"/>
  <c r="A2335" i="1"/>
  <c r="D2335" i="1"/>
  <c r="A2336" i="1"/>
  <c r="D2336" i="1"/>
  <c r="A2337" i="1"/>
  <c r="D2337" i="1"/>
  <c r="A2338" i="1"/>
  <c r="D2338" i="1"/>
  <c r="A2339" i="1"/>
  <c r="D2339" i="1"/>
  <c r="A2340" i="1"/>
  <c r="D2340" i="1"/>
  <c r="A2341" i="1"/>
  <c r="D2341" i="1"/>
  <c r="A2342" i="1"/>
  <c r="D2342" i="1"/>
  <c r="A2343" i="1"/>
  <c r="D2343" i="1"/>
  <c r="A2344" i="1"/>
  <c r="D2344" i="1"/>
  <c r="A2345" i="1"/>
  <c r="D2345" i="1"/>
  <c r="A2346" i="1"/>
  <c r="D2346" i="1"/>
  <c r="A2347" i="1"/>
  <c r="D2347" i="1"/>
  <c r="A2348" i="1"/>
  <c r="D2348" i="1"/>
  <c r="A2349" i="1"/>
  <c r="D2349" i="1"/>
  <c r="A2350" i="1"/>
  <c r="D2350" i="1"/>
  <c r="A2351" i="1"/>
  <c r="D2351" i="1"/>
  <c r="A2352" i="1"/>
  <c r="D2352" i="1"/>
  <c r="A2353" i="1"/>
  <c r="D2353" i="1"/>
  <c r="A2354" i="1"/>
  <c r="D2354" i="1"/>
  <c r="A2355" i="1"/>
  <c r="D2355" i="1"/>
  <c r="A2356" i="1"/>
  <c r="D2356" i="1"/>
  <c r="A2357" i="1"/>
  <c r="D2357" i="1"/>
  <c r="A2358" i="1"/>
  <c r="D2358" i="1"/>
  <c r="A2359" i="1"/>
  <c r="D2359" i="1"/>
  <c r="A2360" i="1"/>
  <c r="D2360" i="1"/>
  <c r="A2361" i="1"/>
  <c r="D2361" i="1"/>
  <c r="A2362" i="1"/>
  <c r="D2362" i="1"/>
  <c r="A2363" i="1"/>
  <c r="D2363" i="1"/>
  <c r="A2364" i="1"/>
  <c r="D2364" i="1"/>
  <c r="A2365" i="1"/>
  <c r="D2365" i="1"/>
  <c r="A2366" i="1"/>
  <c r="D2366" i="1"/>
  <c r="A2367" i="1"/>
  <c r="D2367" i="1"/>
  <c r="A2368" i="1"/>
  <c r="D2368" i="1"/>
  <c r="A2369" i="1"/>
  <c r="D2369" i="1"/>
  <c r="A2370" i="1"/>
  <c r="D2370" i="1"/>
  <c r="A2371" i="1"/>
  <c r="D2371" i="1"/>
  <c r="A2372" i="1"/>
  <c r="D2372" i="1"/>
  <c r="A2373" i="1"/>
  <c r="D2373" i="1"/>
  <c r="A2374" i="1"/>
  <c r="D2374" i="1"/>
  <c r="A2375" i="1"/>
  <c r="D2375" i="1"/>
  <c r="A2376" i="1"/>
  <c r="D2376" i="1"/>
  <c r="A2377" i="1"/>
  <c r="D2377" i="1"/>
  <c r="A2378" i="1"/>
  <c r="D2378" i="1"/>
  <c r="A2379" i="1"/>
  <c r="D2379" i="1"/>
  <c r="A2380" i="1"/>
  <c r="D2380" i="1"/>
  <c r="A2381" i="1"/>
  <c r="D2381" i="1"/>
  <c r="A2382" i="1"/>
  <c r="D2382" i="1"/>
  <c r="A2383" i="1"/>
  <c r="D2383" i="1"/>
  <c r="A2384" i="1"/>
  <c r="D2384" i="1"/>
  <c r="A2385" i="1"/>
  <c r="D2385" i="1"/>
  <c r="A2386" i="1"/>
  <c r="D2386" i="1"/>
  <c r="A2387" i="1"/>
  <c r="D2387" i="1"/>
  <c r="A2388" i="1"/>
  <c r="D2388" i="1"/>
  <c r="A2389" i="1"/>
  <c r="D2389" i="1"/>
  <c r="A2390" i="1"/>
  <c r="D2390" i="1"/>
  <c r="A2391" i="1"/>
  <c r="D2391" i="1"/>
  <c r="A2392" i="1"/>
  <c r="D2392" i="1"/>
  <c r="A2393" i="1"/>
  <c r="D2393" i="1"/>
  <c r="A2394" i="1"/>
  <c r="D2394" i="1"/>
  <c r="A2395" i="1"/>
  <c r="D2395" i="1"/>
  <c r="A2396" i="1"/>
  <c r="D2396" i="1"/>
  <c r="A2397" i="1"/>
  <c r="D2397" i="1"/>
  <c r="A2398" i="1"/>
  <c r="D2398" i="1"/>
  <c r="A2399" i="1"/>
  <c r="D2399" i="1"/>
  <c r="A2400" i="1"/>
  <c r="D2400" i="1"/>
  <c r="A2401" i="1"/>
  <c r="D2401" i="1"/>
  <c r="A2402" i="1"/>
  <c r="D2402" i="1"/>
  <c r="A2403" i="1"/>
  <c r="D2403" i="1"/>
  <c r="A2404" i="1"/>
  <c r="D2404" i="1"/>
  <c r="A2405" i="1"/>
  <c r="D2405" i="1"/>
  <c r="A2406" i="1"/>
  <c r="D2406" i="1"/>
  <c r="A2407" i="1"/>
  <c r="D2407" i="1"/>
  <c r="A2408" i="1"/>
  <c r="D2408" i="1"/>
  <c r="A2409" i="1"/>
  <c r="D2409" i="1"/>
  <c r="A2410" i="1"/>
  <c r="D2410" i="1"/>
  <c r="A2411" i="1"/>
  <c r="D2411" i="1"/>
  <c r="A2412" i="1"/>
  <c r="D2412" i="1"/>
  <c r="A2413" i="1"/>
  <c r="D2413" i="1"/>
  <c r="A2414" i="1"/>
  <c r="D2414" i="1"/>
  <c r="A2415" i="1"/>
  <c r="D2415" i="1"/>
  <c r="A2416" i="1"/>
  <c r="D2416" i="1"/>
  <c r="A2417" i="1"/>
  <c r="D2417" i="1"/>
  <c r="A2418" i="1"/>
  <c r="D2418" i="1"/>
  <c r="A2419" i="1"/>
  <c r="D2419" i="1"/>
  <c r="A2420" i="1"/>
  <c r="D2420" i="1"/>
  <c r="A2421" i="1"/>
  <c r="D2421" i="1"/>
  <c r="A2422" i="1"/>
  <c r="D2422" i="1"/>
  <c r="A2423" i="1"/>
  <c r="D2423" i="1"/>
  <c r="A2424" i="1"/>
  <c r="D2424" i="1"/>
  <c r="A2425" i="1"/>
  <c r="D2425" i="1"/>
  <c r="A2426" i="1"/>
  <c r="D2426" i="1"/>
  <c r="A2427" i="1"/>
  <c r="D2427" i="1"/>
  <c r="A2428" i="1"/>
  <c r="D2428" i="1"/>
  <c r="A2429" i="1"/>
  <c r="D2429" i="1"/>
  <c r="A2430" i="1"/>
  <c r="D2430" i="1"/>
  <c r="A2431" i="1"/>
  <c r="D2431" i="1"/>
  <c r="A2432" i="1"/>
  <c r="D2432" i="1"/>
  <c r="A2433" i="1"/>
  <c r="D2433" i="1"/>
  <c r="A2434" i="1"/>
  <c r="D2434" i="1"/>
  <c r="A2435" i="1"/>
  <c r="D2435" i="1"/>
  <c r="A2436" i="1"/>
  <c r="D2436" i="1"/>
  <c r="A2437" i="1"/>
  <c r="D2437" i="1"/>
  <c r="A2438" i="1"/>
  <c r="D2438" i="1"/>
  <c r="A2439" i="1"/>
  <c r="D2439" i="1"/>
  <c r="A2440" i="1"/>
  <c r="D2440" i="1"/>
  <c r="A2441" i="1"/>
  <c r="D2441" i="1"/>
  <c r="A2442" i="1"/>
  <c r="D2442" i="1"/>
  <c r="A2443" i="1"/>
  <c r="D2443" i="1"/>
  <c r="A2444" i="1"/>
  <c r="D2444" i="1"/>
  <c r="A2445" i="1"/>
  <c r="D2445" i="1"/>
  <c r="A2446" i="1"/>
  <c r="D2446" i="1"/>
  <c r="A2447" i="1"/>
  <c r="D2447" i="1"/>
  <c r="A2448" i="1"/>
  <c r="D2448" i="1"/>
  <c r="A2449" i="1"/>
  <c r="D2449" i="1"/>
  <c r="A2450" i="1"/>
  <c r="D2450" i="1"/>
  <c r="A2451" i="1"/>
  <c r="D2451" i="1"/>
  <c r="A2452" i="1"/>
  <c r="D2452" i="1"/>
  <c r="A2453" i="1"/>
  <c r="D2453" i="1"/>
  <c r="A2454" i="1"/>
  <c r="D2454" i="1"/>
  <c r="A2455" i="1"/>
  <c r="D2455" i="1"/>
  <c r="A2456" i="1"/>
  <c r="D2456" i="1"/>
  <c r="A2457" i="1"/>
  <c r="D2457" i="1"/>
  <c r="A2458" i="1"/>
  <c r="D2458" i="1"/>
  <c r="A2459" i="1"/>
  <c r="D2459" i="1"/>
  <c r="A2460" i="1"/>
  <c r="D2460" i="1"/>
  <c r="A2461" i="1"/>
  <c r="D2461" i="1"/>
  <c r="A2462" i="1"/>
  <c r="D2462" i="1"/>
  <c r="A2463" i="1"/>
  <c r="D2463" i="1"/>
  <c r="A2464" i="1"/>
  <c r="D2464" i="1"/>
  <c r="A2465" i="1"/>
  <c r="D2465" i="1"/>
  <c r="A2466" i="1"/>
  <c r="D2466" i="1"/>
  <c r="A2467" i="1"/>
  <c r="D2467" i="1"/>
  <c r="A2468" i="1"/>
  <c r="D2468" i="1"/>
  <c r="A2469" i="1"/>
  <c r="D2469" i="1"/>
  <c r="A2470" i="1"/>
  <c r="D2470" i="1"/>
  <c r="A2471" i="1"/>
  <c r="D2471" i="1"/>
  <c r="A2472" i="1"/>
  <c r="D2472" i="1"/>
  <c r="A2473" i="1"/>
  <c r="D2473" i="1"/>
  <c r="A2474" i="1"/>
  <c r="D2474" i="1"/>
  <c r="A2475" i="1"/>
  <c r="D2475" i="1"/>
  <c r="A2476" i="1"/>
  <c r="D2476" i="1"/>
  <c r="A2477" i="1"/>
  <c r="D2477" i="1"/>
  <c r="A2478" i="1"/>
  <c r="D2478" i="1"/>
  <c r="A2479" i="1"/>
  <c r="D2479" i="1"/>
  <c r="A2480" i="1"/>
  <c r="D2480" i="1"/>
  <c r="A2481" i="1"/>
  <c r="D2481" i="1"/>
  <c r="A2482" i="1"/>
  <c r="D2482" i="1"/>
  <c r="A2483" i="1"/>
  <c r="D2483" i="1"/>
  <c r="A2484" i="1"/>
  <c r="D2484" i="1"/>
  <c r="A2485" i="1"/>
  <c r="D2485" i="1"/>
  <c r="A2486" i="1"/>
  <c r="D2486" i="1"/>
  <c r="A2487" i="1"/>
  <c r="D2487" i="1"/>
  <c r="A2488" i="1"/>
  <c r="D2488" i="1"/>
  <c r="A2489" i="1"/>
  <c r="D2489" i="1"/>
  <c r="A2490" i="1"/>
  <c r="D2490" i="1"/>
  <c r="A2491" i="1"/>
  <c r="D2491" i="1"/>
  <c r="A2492" i="1"/>
  <c r="D2492" i="1"/>
  <c r="A2493" i="1"/>
  <c r="D2493" i="1"/>
  <c r="A2494" i="1"/>
  <c r="D2494" i="1"/>
  <c r="A2495" i="1"/>
  <c r="D2495" i="1"/>
  <c r="A2496" i="1"/>
  <c r="D2496" i="1"/>
  <c r="A2497" i="1"/>
  <c r="D2497" i="1"/>
  <c r="A2498" i="1"/>
  <c r="D2498" i="1"/>
  <c r="A2499" i="1"/>
  <c r="D2499" i="1"/>
  <c r="A2500" i="1"/>
  <c r="D2500" i="1"/>
  <c r="A2501" i="1"/>
  <c r="D2501" i="1"/>
  <c r="A2502" i="1"/>
  <c r="D2502" i="1"/>
  <c r="A2503" i="1"/>
  <c r="D2503" i="1"/>
  <c r="A2504" i="1"/>
  <c r="D2504" i="1"/>
  <c r="A2505" i="1"/>
  <c r="D2505" i="1"/>
  <c r="A2506" i="1"/>
  <c r="D2506" i="1"/>
  <c r="A2507" i="1"/>
  <c r="D2507" i="1"/>
  <c r="A2508" i="1"/>
  <c r="D2508" i="1"/>
  <c r="A2509" i="1"/>
  <c r="D2509" i="1"/>
  <c r="A2510" i="1"/>
  <c r="D2510" i="1"/>
  <c r="A2511" i="1"/>
  <c r="D2511" i="1"/>
  <c r="A2512" i="1"/>
  <c r="D2512" i="1"/>
  <c r="A2513" i="1"/>
  <c r="D2513" i="1"/>
  <c r="A2514" i="1"/>
  <c r="D2514" i="1"/>
  <c r="A2515" i="1"/>
  <c r="D2515" i="1"/>
  <c r="A2516" i="1"/>
  <c r="D2516" i="1"/>
  <c r="A2517" i="1"/>
  <c r="D2517" i="1"/>
  <c r="A2518" i="1"/>
  <c r="D2518" i="1"/>
  <c r="A2519" i="1"/>
  <c r="D2519" i="1"/>
  <c r="A2520" i="1"/>
  <c r="D2520" i="1"/>
  <c r="A2521" i="1"/>
  <c r="D2521" i="1"/>
  <c r="A2522" i="1"/>
  <c r="D2522" i="1"/>
  <c r="A2523" i="1"/>
  <c r="D2523" i="1"/>
  <c r="A2524" i="1"/>
  <c r="D2524" i="1"/>
  <c r="A2525" i="1"/>
  <c r="D2525" i="1"/>
  <c r="A2526" i="1"/>
  <c r="D2526" i="1"/>
  <c r="A2527" i="1"/>
  <c r="D2527" i="1"/>
  <c r="A2528" i="1"/>
  <c r="D2528" i="1"/>
  <c r="A2529" i="1"/>
  <c r="D2529" i="1"/>
  <c r="A2530" i="1"/>
  <c r="D2530" i="1"/>
  <c r="A2531" i="1"/>
  <c r="D2531" i="1"/>
  <c r="A2532" i="1"/>
  <c r="D2532" i="1"/>
  <c r="A2533" i="1"/>
  <c r="D2533" i="1"/>
  <c r="A2534" i="1"/>
  <c r="D2534" i="1"/>
  <c r="A2535" i="1"/>
  <c r="D2535" i="1"/>
  <c r="A2536" i="1"/>
  <c r="D2536" i="1"/>
  <c r="A2537" i="1"/>
  <c r="D2537" i="1"/>
  <c r="A2538" i="1"/>
  <c r="D2538" i="1"/>
  <c r="A2539" i="1"/>
  <c r="D2539" i="1"/>
  <c r="A2540" i="1"/>
  <c r="D2540" i="1"/>
  <c r="A2541" i="1"/>
  <c r="D2541" i="1"/>
  <c r="A2542" i="1"/>
  <c r="D2542" i="1"/>
  <c r="A2543" i="1"/>
  <c r="D2543" i="1"/>
  <c r="A2544" i="1"/>
  <c r="D2544" i="1"/>
  <c r="A2545" i="1"/>
  <c r="D2545" i="1"/>
  <c r="A2546" i="1"/>
  <c r="D2546" i="1"/>
  <c r="A2547" i="1"/>
  <c r="D2547" i="1"/>
  <c r="A2548" i="1"/>
  <c r="D2548" i="1"/>
  <c r="A2549" i="1"/>
  <c r="D2549" i="1"/>
  <c r="A2550" i="1"/>
  <c r="D2550" i="1"/>
  <c r="A2551" i="1"/>
  <c r="D2551" i="1"/>
  <c r="A2552" i="1"/>
  <c r="D2552" i="1"/>
  <c r="A2553" i="1"/>
  <c r="D2553" i="1"/>
  <c r="A2554" i="1"/>
  <c r="D2554" i="1"/>
  <c r="A2555" i="1"/>
  <c r="D2555" i="1"/>
  <c r="A2556" i="1"/>
  <c r="D2556" i="1"/>
  <c r="A2557" i="1"/>
  <c r="D2557" i="1"/>
  <c r="A2558" i="1"/>
  <c r="D2558" i="1"/>
  <c r="A2559" i="1"/>
  <c r="D2559" i="1"/>
  <c r="A2560" i="1"/>
  <c r="D2560" i="1"/>
  <c r="A2561" i="1"/>
  <c r="D2561" i="1"/>
  <c r="A2562" i="1"/>
  <c r="D2562" i="1"/>
  <c r="A2563" i="1"/>
  <c r="D2563" i="1"/>
  <c r="A2564" i="1"/>
  <c r="D2564" i="1"/>
  <c r="A2565" i="1"/>
  <c r="D2565" i="1"/>
  <c r="A2566" i="1"/>
  <c r="D2566" i="1"/>
  <c r="A2567" i="1"/>
  <c r="D2567" i="1"/>
  <c r="A2568" i="1"/>
  <c r="D2568" i="1"/>
  <c r="A2569" i="1"/>
  <c r="D2569" i="1"/>
  <c r="A2570" i="1"/>
  <c r="D2570" i="1"/>
  <c r="A2571" i="1"/>
  <c r="D2571" i="1"/>
  <c r="A2572" i="1"/>
  <c r="D2572" i="1"/>
  <c r="A2573" i="1"/>
  <c r="D2573" i="1"/>
  <c r="A2574" i="1"/>
  <c r="D2574" i="1"/>
  <c r="A2575" i="1"/>
  <c r="D2575" i="1"/>
  <c r="A2576" i="1"/>
  <c r="D2576" i="1"/>
  <c r="A2577" i="1"/>
  <c r="D2577" i="1"/>
  <c r="A2578" i="1"/>
  <c r="D2578" i="1"/>
  <c r="A2579" i="1"/>
  <c r="D2579" i="1"/>
  <c r="A2580" i="1"/>
  <c r="D2580" i="1"/>
  <c r="A2581" i="1"/>
  <c r="D2581" i="1"/>
  <c r="A2582" i="1"/>
  <c r="D2582" i="1"/>
  <c r="A2583" i="1"/>
  <c r="D2583" i="1"/>
  <c r="A2584" i="1"/>
  <c r="D2584" i="1"/>
  <c r="A2585" i="1"/>
  <c r="D2585" i="1"/>
  <c r="A2586" i="1"/>
  <c r="D2586" i="1"/>
  <c r="A2587" i="1"/>
  <c r="D2587" i="1"/>
  <c r="A2588" i="1"/>
  <c r="D2588" i="1"/>
  <c r="A2589" i="1"/>
  <c r="D2589" i="1"/>
  <c r="A2590" i="1"/>
  <c r="D2590" i="1"/>
  <c r="A2591" i="1"/>
  <c r="D2591" i="1"/>
  <c r="A2592" i="1"/>
  <c r="D2592" i="1"/>
  <c r="A2593" i="1"/>
  <c r="D2593" i="1"/>
  <c r="A2594" i="1"/>
  <c r="D2594" i="1"/>
  <c r="A2595" i="1"/>
  <c r="D2595" i="1"/>
  <c r="A2596" i="1"/>
  <c r="D2596" i="1"/>
  <c r="A2597" i="1"/>
  <c r="D2597" i="1"/>
  <c r="A2598" i="1"/>
  <c r="D2598" i="1"/>
  <c r="A2599" i="1"/>
  <c r="D2599" i="1"/>
  <c r="A2600" i="1"/>
  <c r="D2600" i="1"/>
  <c r="A2601" i="1"/>
  <c r="D2601" i="1"/>
  <c r="A2602" i="1"/>
  <c r="D2602" i="1"/>
  <c r="A2603" i="1"/>
  <c r="D2603" i="1"/>
  <c r="A2604" i="1"/>
  <c r="D2604" i="1"/>
  <c r="A2605" i="1"/>
  <c r="D2605" i="1"/>
  <c r="A2606" i="1"/>
  <c r="D2606" i="1"/>
  <c r="A2607" i="1"/>
  <c r="D2607" i="1"/>
  <c r="A2608" i="1"/>
  <c r="D2608" i="1"/>
  <c r="A2609" i="1"/>
  <c r="D2609" i="1"/>
  <c r="A2610" i="1"/>
  <c r="D2610" i="1"/>
  <c r="A2611" i="1"/>
  <c r="D2611" i="1"/>
  <c r="A2612" i="1"/>
  <c r="D2612" i="1"/>
  <c r="A2613" i="1"/>
  <c r="D2613" i="1"/>
  <c r="A2614" i="1"/>
  <c r="D2614" i="1"/>
  <c r="A2615" i="1"/>
  <c r="D2615" i="1"/>
  <c r="A2616" i="1"/>
  <c r="D2616" i="1"/>
  <c r="A2617" i="1"/>
  <c r="D2617" i="1"/>
  <c r="A2618" i="1"/>
  <c r="D2618" i="1"/>
  <c r="A2619" i="1"/>
  <c r="D2619" i="1"/>
  <c r="A2620" i="1"/>
  <c r="D2620" i="1"/>
  <c r="A2621" i="1"/>
  <c r="D2621" i="1"/>
  <c r="A2622" i="1"/>
  <c r="D2622" i="1"/>
  <c r="A2623" i="1"/>
  <c r="D2623" i="1"/>
  <c r="A2624" i="1"/>
  <c r="D2624" i="1"/>
  <c r="A2625" i="1"/>
  <c r="D2625" i="1"/>
  <c r="A2626" i="1"/>
  <c r="D2626" i="1"/>
  <c r="A2627" i="1"/>
  <c r="D2627" i="1"/>
  <c r="A2628" i="1"/>
  <c r="D2628" i="1"/>
  <c r="A2629" i="1"/>
  <c r="D2629" i="1"/>
  <c r="A2630" i="1"/>
  <c r="D2630" i="1"/>
  <c r="A2631" i="1"/>
  <c r="D2631" i="1"/>
  <c r="A2632" i="1"/>
  <c r="D2632" i="1"/>
  <c r="A2633" i="1"/>
  <c r="D2633" i="1"/>
  <c r="A2634" i="1"/>
  <c r="D2634" i="1"/>
  <c r="A2635" i="1"/>
  <c r="D2635" i="1"/>
  <c r="A2636" i="1"/>
  <c r="D2636" i="1"/>
  <c r="A2637" i="1"/>
  <c r="D2637" i="1"/>
  <c r="A2638" i="1"/>
  <c r="D2638" i="1"/>
  <c r="A2639" i="1"/>
  <c r="D2639" i="1"/>
  <c r="A2640" i="1"/>
  <c r="D2640" i="1"/>
  <c r="A2641" i="1"/>
  <c r="D2641" i="1"/>
  <c r="A2642" i="1"/>
  <c r="D2642" i="1"/>
  <c r="A2643" i="1"/>
  <c r="D2643" i="1"/>
  <c r="A2644" i="1"/>
  <c r="D2644" i="1"/>
  <c r="A2645" i="1"/>
  <c r="D2645" i="1"/>
  <c r="A2646" i="1"/>
  <c r="D2646" i="1"/>
  <c r="A2647" i="1"/>
  <c r="D2647" i="1"/>
  <c r="A2648" i="1"/>
  <c r="D2648" i="1"/>
  <c r="A2649" i="1"/>
  <c r="D2649" i="1"/>
  <c r="A2650" i="1"/>
  <c r="D2650" i="1"/>
  <c r="A2651" i="1"/>
  <c r="D2651" i="1"/>
  <c r="A2652" i="1"/>
  <c r="D2652" i="1"/>
  <c r="A2653" i="1"/>
  <c r="D2653" i="1"/>
  <c r="A2654" i="1"/>
  <c r="D2654" i="1"/>
  <c r="A2655" i="1"/>
  <c r="D2655" i="1"/>
  <c r="A2656" i="1"/>
  <c r="D2656" i="1"/>
  <c r="A2657" i="1"/>
  <c r="D2657" i="1"/>
  <c r="A2658" i="1"/>
  <c r="D2658" i="1"/>
  <c r="A2659" i="1"/>
  <c r="D2659" i="1"/>
  <c r="A2660" i="1"/>
  <c r="D2660" i="1"/>
  <c r="A2661" i="1"/>
  <c r="D2661" i="1"/>
  <c r="A2662" i="1"/>
  <c r="D2662" i="1"/>
  <c r="A2663" i="1"/>
  <c r="D2663" i="1"/>
  <c r="A2664" i="1"/>
  <c r="D2664" i="1"/>
  <c r="A2665" i="1"/>
  <c r="D2665" i="1"/>
  <c r="A2666" i="1"/>
  <c r="D2666" i="1"/>
  <c r="A2667" i="1"/>
  <c r="D2667" i="1"/>
  <c r="A2668" i="1"/>
  <c r="D2668" i="1"/>
  <c r="A2669" i="1"/>
  <c r="D2669" i="1"/>
  <c r="A2670" i="1"/>
  <c r="D2670" i="1"/>
  <c r="A2671" i="1"/>
  <c r="D2671" i="1"/>
  <c r="A2672" i="1"/>
  <c r="D2672" i="1"/>
  <c r="A2673" i="1"/>
  <c r="D2673" i="1"/>
  <c r="A2674" i="1"/>
  <c r="D2674" i="1"/>
  <c r="A2675" i="1"/>
  <c r="D2675" i="1"/>
  <c r="A2676" i="1"/>
  <c r="D2676" i="1"/>
  <c r="A2677" i="1"/>
  <c r="D2677" i="1"/>
  <c r="A2678" i="1"/>
  <c r="D2678" i="1"/>
  <c r="A2679" i="1"/>
  <c r="D2679" i="1"/>
  <c r="A2680" i="1"/>
  <c r="D2680" i="1"/>
  <c r="A2681" i="1"/>
  <c r="D2681" i="1"/>
  <c r="A2682" i="1"/>
  <c r="D2682" i="1"/>
  <c r="A2683" i="1"/>
  <c r="D2683" i="1"/>
  <c r="A2684" i="1"/>
  <c r="D2684" i="1"/>
  <c r="A2685" i="1"/>
  <c r="D2685" i="1"/>
  <c r="A2686" i="1"/>
  <c r="D2686" i="1"/>
  <c r="A2687" i="1"/>
  <c r="D2687" i="1"/>
  <c r="A2688" i="1"/>
  <c r="D2688" i="1"/>
  <c r="A2689" i="1"/>
  <c r="D2689" i="1"/>
  <c r="A2690" i="1"/>
  <c r="D2690" i="1"/>
  <c r="A2691" i="1"/>
  <c r="D2691" i="1"/>
  <c r="A2692" i="1"/>
  <c r="D2692" i="1"/>
  <c r="A2693" i="1"/>
  <c r="D2693" i="1"/>
  <c r="A2694" i="1"/>
  <c r="D2694" i="1"/>
  <c r="A2695" i="1"/>
  <c r="D2695" i="1"/>
  <c r="A2696" i="1"/>
  <c r="D2696" i="1"/>
  <c r="A2697" i="1"/>
  <c r="D2697" i="1"/>
  <c r="A2698" i="1"/>
  <c r="D2698" i="1"/>
  <c r="A2699" i="1"/>
  <c r="D2699" i="1"/>
  <c r="A2700" i="1"/>
  <c r="D2700" i="1"/>
  <c r="A2701" i="1"/>
  <c r="D2701" i="1"/>
  <c r="A2702" i="1"/>
  <c r="D2702" i="1"/>
  <c r="A2703" i="1"/>
  <c r="D2703" i="1"/>
  <c r="A2704" i="1"/>
  <c r="D2704" i="1"/>
  <c r="A2705" i="1"/>
  <c r="D2705" i="1"/>
  <c r="A2706" i="1"/>
  <c r="D2706" i="1"/>
  <c r="A2707" i="1"/>
  <c r="D2707" i="1"/>
  <c r="A2708" i="1"/>
  <c r="D2708" i="1"/>
  <c r="A2709" i="1"/>
  <c r="D2709" i="1"/>
  <c r="A2710" i="1"/>
  <c r="D2710" i="1"/>
  <c r="A2711" i="1"/>
  <c r="D2711" i="1"/>
  <c r="A2712" i="1"/>
  <c r="D2712" i="1"/>
  <c r="A2713" i="1"/>
  <c r="D2713" i="1"/>
  <c r="A2714" i="1"/>
  <c r="D2714" i="1"/>
  <c r="A2715" i="1"/>
  <c r="D2715" i="1"/>
  <c r="A2716" i="1"/>
  <c r="D2716" i="1"/>
  <c r="A2717" i="1"/>
  <c r="D2717" i="1"/>
  <c r="A2718" i="1"/>
  <c r="D2718" i="1"/>
  <c r="A2719" i="1"/>
  <c r="D2719" i="1"/>
  <c r="A2720" i="1"/>
  <c r="D2720" i="1"/>
  <c r="A2721" i="1"/>
  <c r="D2721" i="1"/>
  <c r="A2722" i="1"/>
  <c r="D2722" i="1"/>
  <c r="A2723" i="1"/>
  <c r="D2723" i="1"/>
  <c r="A2724" i="1"/>
  <c r="D2724" i="1"/>
  <c r="A2725" i="1"/>
  <c r="D2725" i="1"/>
  <c r="A2726" i="1"/>
  <c r="D2726" i="1"/>
  <c r="A2727" i="1"/>
  <c r="D2727" i="1"/>
  <c r="A2728" i="1"/>
  <c r="D2728" i="1"/>
  <c r="A2729" i="1"/>
  <c r="D2729" i="1"/>
  <c r="A2730" i="1"/>
  <c r="D2730" i="1"/>
  <c r="A2731" i="1"/>
  <c r="D2731" i="1"/>
  <c r="A2732" i="1"/>
  <c r="D2732" i="1"/>
  <c r="A2733" i="1"/>
  <c r="D2733" i="1"/>
  <c r="A2734" i="1"/>
  <c r="D2734" i="1"/>
  <c r="A2735" i="1"/>
  <c r="D2735" i="1"/>
  <c r="A2736" i="1"/>
  <c r="D2736" i="1"/>
  <c r="A2737" i="1"/>
  <c r="D2737" i="1"/>
  <c r="A2738" i="1"/>
  <c r="D2738" i="1"/>
  <c r="A2739" i="1"/>
  <c r="D2739" i="1"/>
  <c r="A2740" i="1"/>
  <c r="D2740" i="1"/>
  <c r="A2741" i="1"/>
  <c r="D2741" i="1"/>
  <c r="A2742" i="1"/>
  <c r="D2742" i="1"/>
  <c r="A2743" i="1"/>
  <c r="D2743" i="1"/>
  <c r="A2744" i="1"/>
  <c r="D2744" i="1"/>
  <c r="A2745" i="1"/>
  <c r="D2745" i="1"/>
  <c r="A2746" i="1"/>
  <c r="D2746" i="1"/>
  <c r="A2747" i="1"/>
  <c r="D2747" i="1"/>
  <c r="A2748" i="1"/>
  <c r="D2748" i="1"/>
  <c r="A2749" i="1"/>
  <c r="D2749" i="1"/>
  <c r="A2750" i="1"/>
  <c r="D2750" i="1"/>
  <c r="A2751" i="1"/>
  <c r="D2751" i="1"/>
  <c r="A2752" i="1"/>
  <c r="D2752" i="1"/>
  <c r="A2753" i="1"/>
  <c r="D2753" i="1"/>
  <c r="A2754" i="1"/>
  <c r="D2754" i="1"/>
  <c r="A2755" i="1"/>
  <c r="D2755" i="1"/>
  <c r="A2756" i="1"/>
  <c r="D2756" i="1"/>
  <c r="A2757" i="1"/>
  <c r="D2757" i="1"/>
  <c r="A2758" i="1"/>
  <c r="D2758" i="1"/>
  <c r="A2759" i="1"/>
  <c r="D2759" i="1"/>
  <c r="A2760" i="1"/>
  <c r="D2760" i="1"/>
  <c r="A2761" i="1"/>
  <c r="D2761" i="1"/>
  <c r="A2762" i="1"/>
  <c r="D2762" i="1"/>
  <c r="A2763" i="1"/>
  <c r="D2763" i="1"/>
  <c r="A2764" i="1"/>
  <c r="D2764" i="1"/>
  <c r="A2765" i="1"/>
  <c r="D2765" i="1"/>
  <c r="A2766" i="1"/>
  <c r="D2766" i="1"/>
  <c r="A2767" i="1"/>
  <c r="D2767" i="1"/>
  <c r="A2768" i="1"/>
  <c r="D2768" i="1"/>
  <c r="A2769" i="1"/>
  <c r="D2769" i="1"/>
  <c r="A2770" i="1"/>
  <c r="D2770" i="1"/>
  <c r="A2771" i="1"/>
  <c r="D2771" i="1"/>
  <c r="A2772" i="1"/>
  <c r="D2772" i="1"/>
  <c r="A2773" i="1"/>
  <c r="D2773" i="1"/>
  <c r="A2774" i="1"/>
  <c r="D2774" i="1"/>
  <c r="A2775" i="1"/>
  <c r="D2775" i="1"/>
  <c r="A2776" i="1"/>
  <c r="D2776" i="1"/>
  <c r="A2777" i="1"/>
  <c r="D2777" i="1"/>
  <c r="A2778" i="1"/>
  <c r="D2778" i="1"/>
  <c r="A2779" i="1"/>
  <c r="D2779" i="1"/>
  <c r="A2780" i="1"/>
  <c r="D2780" i="1"/>
  <c r="A2781" i="1"/>
  <c r="D2781" i="1"/>
  <c r="A2782" i="1"/>
  <c r="D2782" i="1"/>
  <c r="A2783" i="1"/>
  <c r="D2783" i="1"/>
  <c r="A2784" i="1"/>
  <c r="D2784" i="1"/>
  <c r="A2785" i="1"/>
  <c r="D2785" i="1"/>
  <c r="A2786" i="1"/>
  <c r="D2786" i="1"/>
  <c r="A2787" i="1"/>
  <c r="D2787" i="1"/>
  <c r="A2788" i="1"/>
  <c r="D2788" i="1"/>
  <c r="A2789" i="1"/>
  <c r="D2789" i="1"/>
  <c r="A2790" i="1"/>
  <c r="D2790" i="1"/>
  <c r="A2791" i="1"/>
  <c r="D2791" i="1"/>
  <c r="A2792" i="1"/>
  <c r="D2792" i="1"/>
  <c r="A2793" i="1"/>
  <c r="D2793" i="1"/>
  <c r="A2794" i="1"/>
  <c r="D2794" i="1"/>
  <c r="A2795" i="1"/>
  <c r="D2795" i="1"/>
  <c r="A2796" i="1"/>
  <c r="D2796" i="1"/>
  <c r="A2797" i="1"/>
  <c r="D2797" i="1"/>
  <c r="A2798" i="1"/>
  <c r="D2798" i="1"/>
  <c r="A2799" i="1"/>
  <c r="D2799" i="1"/>
  <c r="A2800" i="1"/>
  <c r="D2800" i="1"/>
  <c r="A2801" i="1"/>
  <c r="D2801" i="1"/>
  <c r="A2802" i="1"/>
  <c r="D2802" i="1"/>
  <c r="A2803" i="1"/>
  <c r="D2803" i="1"/>
  <c r="A2804" i="1"/>
  <c r="D2804" i="1"/>
  <c r="A2805" i="1"/>
  <c r="D2805" i="1"/>
  <c r="A2806" i="1"/>
  <c r="D2806" i="1"/>
  <c r="A2807" i="1"/>
  <c r="D2807" i="1"/>
  <c r="A2808" i="1"/>
  <c r="D2808" i="1"/>
  <c r="A2809" i="1"/>
  <c r="D2809" i="1"/>
  <c r="A2810" i="1"/>
  <c r="D2810" i="1"/>
  <c r="A2811" i="1"/>
  <c r="D2811" i="1"/>
  <c r="A2812" i="1"/>
  <c r="D2812" i="1"/>
  <c r="A2813" i="1"/>
  <c r="D2813" i="1"/>
  <c r="A2814" i="1"/>
  <c r="D2814" i="1"/>
  <c r="A2815" i="1"/>
  <c r="D2815" i="1"/>
  <c r="A2816" i="1"/>
  <c r="D2816" i="1"/>
  <c r="A2817" i="1"/>
  <c r="D2817" i="1"/>
  <c r="A2818" i="1"/>
  <c r="D2818" i="1"/>
  <c r="A2819" i="1"/>
  <c r="D2819" i="1"/>
  <c r="A2820" i="1"/>
  <c r="D2820" i="1"/>
  <c r="A2821" i="1"/>
  <c r="D2821" i="1"/>
  <c r="A2822" i="1"/>
  <c r="D2822" i="1"/>
  <c r="A2823" i="1"/>
  <c r="D2823" i="1"/>
  <c r="A2824" i="1"/>
  <c r="D2824" i="1"/>
  <c r="A2825" i="1"/>
  <c r="D2825" i="1"/>
  <c r="A2826" i="1"/>
  <c r="D2826" i="1"/>
  <c r="A2827" i="1"/>
  <c r="D2827" i="1"/>
  <c r="A2828" i="1"/>
  <c r="D2828" i="1"/>
  <c r="A2829" i="1"/>
  <c r="D2829" i="1"/>
  <c r="A2830" i="1"/>
  <c r="D2830" i="1"/>
  <c r="A2831" i="1"/>
  <c r="D2831" i="1"/>
  <c r="A2832" i="1"/>
  <c r="D2832" i="1"/>
  <c r="A2833" i="1"/>
  <c r="D2833" i="1"/>
  <c r="A2834" i="1"/>
  <c r="D2834" i="1"/>
  <c r="A2835" i="1"/>
  <c r="D2835" i="1"/>
  <c r="A2836" i="1"/>
  <c r="D2836" i="1"/>
  <c r="A2837" i="1"/>
  <c r="D2837" i="1"/>
  <c r="A2838" i="1"/>
  <c r="D2838" i="1"/>
  <c r="A2839" i="1"/>
  <c r="D2839" i="1"/>
  <c r="A2840" i="1"/>
  <c r="D2840" i="1"/>
  <c r="A2841" i="1"/>
  <c r="D2841" i="1"/>
  <c r="A2842" i="1"/>
  <c r="D2842" i="1"/>
  <c r="A2843" i="1"/>
  <c r="D2843" i="1"/>
  <c r="A2844" i="1"/>
  <c r="D2844" i="1"/>
  <c r="A2845" i="1"/>
  <c r="D2845" i="1"/>
  <c r="A2846" i="1"/>
  <c r="D2846" i="1"/>
  <c r="A2847" i="1"/>
  <c r="D2847" i="1"/>
  <c r="A2848" i="1"/>
  <c r="D2848" i="1"/>
  <c r="A2849" i="1"/>
  <c r="D2849" i="1"/>
  <c r="A2850" i="1"/>
  <c r="D2850" i="1"/>
  <c r="A2851" i="1"/>
  <c r="D2851" i="1"/>
  <c r="A2852" i="1"/>
  <c r="D2852" i="1"/>
  <c r="A2853" i="1"/>
  <c r="D2853" i="1"/>
  <c r="A2854" i="1"/>
  <c r="D2854" i="1"/>
  <c r="A2855" i="1"/>
  <c r="D2855" i="1"/>
  <c r="A2856" i="1"/>
  <c r="D2856" i="1"/>
  <c r="A2857" i="1"/>
  <c r="D2857" i="1"/>
  <c r="A2858" i="1"/>
  <c r="D2858" i="1"/>
  <c r="A2859" i="1"/>
  <c r="D2859" i="1"/>
  <c r="A2860" i="1"/>
  <c r="D2860" i="1"/>
  <c r="A2861" i="1"/>
  <c r="D2861" i="1"/>
  <c r="A2862" i="1"/>
  <c r="D2862" i="1"/>
  <c r="A2863" i="1"/>
  <c r="D2863" i="1"/>
  <c r="A2864" i="1"/>
  <c r="D2864" i="1"/>
  <c r="A2865" i="1"/>
  <c r="D2865" i="1"/>
  <c r="A2866" i="1"/>
  <c r="D2866" i="1"/>
  <c r="A2867" i="1"/>
  <c r="D2867" i="1"/>
  <c r="A2868" i="1"/>
  <c r="D2868" i="1"/>
  <c r="A2869" i="1"/>
  <c r="D2869" i="1"/>
  <c r="A2870" i="1"/>
  <c r="D2870" i="1"/>
  <c r="A2871" i="1"/>
  <c r="D2871" i="1"/>
  <c r="A2872" i="1"/>
  <c r="D2872" i="1"/>
  <c r="A2873" i="1"/>
  <c r="D2873" i="1"/>
  <c r="A2874" i="1"/>
  <c r="D2874" i="1"/>
  <c r="A2875" i="1"/>
  <c r="D2875" i="1"/>
  <c r="A2876" i="1"/>
  <c r="D2876" i="1"/>
  <c r="A2877" i="1"/>
  <c r="D2877" i="1"/>
  <c r="A2878" i="1"/>
  <c r="D2878" i="1"/>
  <c r="A2879" i="1"/>
  <c r="D2879" i="1"/>
  <c r="A2880" i="1"/>
  <c r="D2880" i="1"/>
  <c r="A2881" i="1"/>
  <c r="D2881" i="1"/>
  <c r="A2882" i="1"/>
  <c r="D2882" i="1"/>
  <c r="A2883" i="1"/>
  <c r="D2883" i="1"/>
  <c r="A2884" i="1"/>
  <c r="D2884" i="1"/>
  <c r="A2885" i="1"/>
  <c r="D2885" i="1"/>
  <c r="A2886" i="1"/>
  <c r="D2886" i="1"/>
  <c r="A2887" i="1"/>
  <c r="D2887" i="1"/>
  <c r="A2888" i="1"/>
  <c r="D2888" i="1"/>
  <c r="A2889" i="1"/>
  <c r="D2889" i="1"/>
  <c r="A2890" i="1"/>
  <c r="D2890" i="1"/>
  <c r="A2891" i="1"/>
  <c r="D2891" i="1"/>
  <c r="A2892" i="1"/>
  <c r="D2892" i="1"/>
  <c r="A2893" i="1"/>
  <c r="D2893" i="1"/>
  <c r="A2894" i="1"/>
  <c r="D2894" i="1"/>
  <c r="A2895" i="1"/>
  <c r="D2895" i="1"/>
  <c r="A2896" i="1"/>
  <c r="D2896" i="1"/>
  <c r="A2897" i="1"/>
  <c r="D2897" i="1"/>
  <c r="A2898" i="1"/>
  <c r="D2898" i="1"/>
  <c r="A2899" i="1"/>
  <c r="D2899" i="1"/>
  <c r="A2900" i="1"/>
  <c r="D2900" i="1"/>
  <c r="A2901" i="1"/>
  <c r="D2901" i="1"/>
  <c r="A2902" i="1"/>
  <c r="D2902" i="1"/>
  <c r="A2903" i="1"/>
  <c r="D2903" i="1"/>
  <c r="A2904" i="1"/>
  <c r="D2904" i="1"/>
  <c r="A2905" i="1"/>
  <c r="D2905" i="1"/>
  <c r="A2906" i="1"/>
  <c r="D2906" i="1"/>
  <c r="A2907" i="1"/>
  <c r="D2907" i="1"/>
  <c r="A2908" i="1"/>
  <c r="D2908" i="1"/>
  <c r="A2909" i="1"/>
  <c r="D2909" i="1"/>
  <c r="A2910" i="1"/>
  <c r="D2910" i="1"/>
  <c r="A2911" i="1"/>
  <c r="D2911" i="1"/>
  <c r="A2912" i="1"/>
  <c r="D2912" i="1"/>
  <c r="A2913" i="1"/>
  <c r="D2913" i="1"/>
  <c r="A2914" i="1"/>
  <c r="D2914" i="1"/>
  <c r="A2915" i="1"/>
  <c r="D2915" i="1"/>
  <c r="A2916" i="1"/>
  <c r="D2916" i="1"/>
  <c r="A2917" i="1"/>
  <c r="D2917" i="1"/>
  <c r="A2918" i="1"/>
  <c r="D2918" i="1"/>
  <c r="A2919" i="1"/>
  <c r="D2919" i="1"/>
  <c r="A2920" i="1"/>
  <c r="D2920" i="1"/>
  <c r="A2921" i="1"/>
  <c r="D2921" i="1"/>
  <c r="A2922" i="1"/>
  <c r="D2922" i="1"/>
  <c r="A2923" i="1"/>
  <c r="D2923" i="1"/>
  <c r="A2924" i="1"/>
  <c r="D2924" i="1"/>
  <c r="A2925" i="1"/>
  <c r="D2925" i="1"/>
  <c r="A2926" i="1"/>
  <c r="D2926" i="1"/>
  <c r="A2927" i="1"/>
  <c r="D2927" i="1"/>
  <c r="A2928" i="1"/>
  <c r="D2928" i="1"/>
  <c r="A2929" i="1"/>
  <c r="D2929" i="1"/>
  <c r="A2930" i="1"/>
  <c r="D2930" i="1"/>
  <c r="A2931" i="1"/>
  <c r="D2931" i="1"/>
  <c r="A2932" i="1"/>
  <c r="D2932" i="1"/>
  <c r="A2933" i="1"/>
  <c r="D2933" i="1"/>
  <c r="A2934" i="1"/>
  <c r="D2934" i="1"/>
  <c r="A2935" i="1"/>
  <c r="D2935" i="1"/>
  <c r="A2936" i="1"/>
  <c r="D2936" i="1"/>
  <c r="A2937" i="1"/>
  <c r="D2937" i="1"/>
  <c r="A2938" i="1"/>
  <c r="D2938" i="1"/>
  <c r="A2939" i="1"/>
  <c r="D2939" i="1"/>
  <c r="A2940" i="1"/>
  <c r="D2940" i="1"/>
  <c r="A2941" i="1"/>
  <c r="D2941" i="1"/>
  <c r="A2942" i="1"/>
  <c r="D2942" i="1"/>
  <c r="A2943" i="1"/>
  <c r="D2943" i="1"/>
  <c r="A2944" i="1"/>
  <c r="D2944" i="1"/>
  <c r="A2945" i="1"/>
  <c r="D2945" i="1"/>
  <c r="A2946" i="1"/>
  <c r="D2946" i="1"/>
  <c r="A2947" i="1"/>
  <c r="D2947" i="1"/>
  <c r="A2948" i="1"/>
  <c r="D2948" i="1"/>
  <c r="A2949" i="1"/>
  <c r="D2949" i="1"/>
  <c r="A2950" i="1"/>
  <c r="D2950" i="1"/>
  <c r="A2951" i="1"/>
  <c r="D2951" i="1"/>
  <c r="A2952" i="1"/>
  <c r="D2952" i="1"/>
  <c r="A2953" i="1"/>
  <c r="D2953" i="1"/>
  <c r="A2954" i="1"/>
  <c r="D2954" i="1"/>
  <c r="A2955" i="1"/>
  <c r="D2955" i="1"/>
  <c r="A2956" i="1"/>
  <c r="D2956" i="1"/>
  <c r="A2957" i="1"/>
  <c r="D2957" i="1"/>
  <c r="A2958" i="1"/>
  <c r="D2958" i="1"/>
  <c r="A2959" i="1"/>
  <c r="D2959" i="1"/>
  <c r="A2960" i="1"/>
  <c r="D2960" i="1"/>
  <c r="A2961" i="1"/>
  <c r="D2961" i="1"/>
  <c r="A2962" i="1"/>
  <c r="D2962" i="1"/>
  <c r="A2963" i="1"/>
  <c r="D2963" i="1"/>
  <c r="A2964" i="1"/>
  <c r="D2964" i="1"/>
  <c r="A2965" i="1"/>
  <c r="D2965" i="1"/>
  <c r="A2966" i="1"/>
  <c r="D2966" i="1"/>
  <c r="A2967" i="1"/>
  <c r="D2967" i="1"/>
  <c r="A2968" i="1"/>
  <c r="D2968" i="1"/>
  <c r="A2969" i="1"/>
  <c r="D2969" i="1"/>
  <c r="A2970" i="1"/>
  <c r="D2970" i="1"/>
  <c r="A2971" i="1"/>
  <c r="D2971" i="1"/>
  <c r="A2972" i="1"/>
  <c r="D2972" i="1"/>
  <c r="A2973" i="1"/>
  <c r="D2973" i="1"/>
  <c r="A2974" i="1"/>
  <c r="D2974" i="1"/>
  <c r="A2975" i="1"/>
  <c r="D2975" i="1"/>
  <c r="A2976" i="1"/>
  <c r="D2976" i="1"/>
  <c r="A2977" i="1"/>
  <c r="D2977" i="1"/>
  <c r="A2978" i="1"/>
  <c r="D2978" i="1"/>
  <c r="A2979" i="1"/>
  <c r="D2979" i="1"/>
  <c r="A2980" i="1"/>
  <c r="D2980" i="1"/>
  <c r="A2981" i="1"/>
  <c r="D2981" i="1"/>
  <c r="A2982" i="1"/>
  <c r="D2982" i="1"/>
  <c r="A2983" i="1"/>
  <c r="D2983" i="1"/>
  <c r="A2984" i="1"/>
  <c r="D2984" i="1"/>
  <c r="A2985" i="1"/>
  <c r="D2985" i="1"/>
  <c r="A2986" i="1"/>
  <c r="D2986" i="1"/>
  <c r="A2987" i="1"/>
  <c r="D2987" i="1"/>
  <c r="A2988" i="1"/>
  <c r="D2988" i="1"/>
  <c r="A2989" i="1"/>
  <c r="D2989" i="1"/>
  <c r="A2990" i="1"/>
  <c r="D2990" i="1"/>
  <c r="A2991" i="1"/>
  <c r="D2991" i="1"/>
  <c r="A2992" i="1"/>
  <c r="D2992" i="1"/>
  <c r="A2993" i="1"/>
  <c r="D2993" i="1"/>
  <c r="A2994" i="1"/>
  <c r="D2994" i="1"/>
  <c r="A2995" i="1"/>
  <c r="D2995" i="1"/>
  <c r="A2996" i="1"/>
  <c r="D2996" i="1"/>
  <c r="A2997" i="1"/>
  <c r="D2997" i="1"/>
  <c r="A2998" i="1"/>
  <c r="D2998" i="1"/>
  <c r="A2999" i="1"/>
  <c r="D2999" i="1"/>
  <c r="A3000" i="1"/>
  <c r="D3000" i="1"/>
  <c r="A3001" i="1"/>
  <c r="D3001" i="1"/>
  <c r="A3002" i="1"/>
  <c r="D3002" i="1"/>
  <c r="A3003" i="1"/>
  <c r="D3003" i="1"/>
  <c r="A3004" i="1"/>
  <c r="D3004" i="1"/>
  <c r="A3005" i="1"/>
  <c r="D3005" i="1"/>
  <c r="A3006" i="1"/>
  <c r="D3006" i="1"/>
  <c r="A3007" i="1"/>
  <c r="D3007" i="1"/>
  <c r="A3008" i="1"/>
  <c r="D3008" i="1"/>
  <c r="A3009" i="1"/>
  <c r="D3009" i="1"/>
  <c r="A3010" i="1"/>
  <c r="D3010" i="1"/>
  <c r="A3011" i="1"/>
  <c r="D3011" i="1"/>
  <c r="A3012" i="1"/>
  <c r="D3012" i="1"/>
  <c r="A3013" i="1"/>
  <c r="D3013" i="1"/>
  <c r="A3014" i="1"/>
  <c r="D3014" i="1"/>
  <c r="A3015" i="1"/>
  <c r="D3015" i="1"/>
  <c r="A3016" i="1"/>
  <c r="D3016" i="1"/>
  <c r="A3017" i="1"/>
  <c r="D3017" i="1"/>
  <c r="A3018" i="1"/>
  <c r="D3018" i="1"/>
  <c r="A3019" i="1"/>
  <c r="D3019" i="1"/>
  <c r="A3020" i="1"/>
  <c r="D3020" i="1"/>
  <c r="A3021" i="1"/>
  <c r="D3021" i="1"/>
  <c r="A3022" i="1"/>
  <c r="D3022" i="1"/>
  <c r="A3023" i="1"/>
  <c r="D3023" i="1"/>
  <c r="A3024" i="1"/>
  <c r="D3024" i="1"/>
  <c r="A3025" i="1"/>
  <c r="D3025" i="1"/>
  <c r="A3026" i="1"/>
  <c r="D3026" i="1"/>
  <c r="A3027" i="1"/>
  <c r="D3027" i="1"/>
  <c r="A3028" i="1"/>
  <c r="D3028" i="1"/>
  <c r="A3029" i="1"/>
  <c r="D3029" i="1"/>
  <c r="A3030" i="1"/>
  <c r="D3030" i="1"/>
  <c r="A3031" i="1"/>
  <c r="D3031" i="1"/>
  <c r="A3032" i="1"/>
  <c r="D3032" i="1"/>
  <c r="A3033" i="1"/>
  <c r="D3033" i="1"/>
  <c r="A3034" i="1"/>
  <c r="D3034" i="1"/>
  <c r="A3035" i="1"/>
  <c r="D3035" i="1"/>
  <c r="A3036" i="1"/>
  <c r="D3036" i="1"/>
  <c r="A3037" i="1"/>
  <c r="D3037" i="1"/>
  <c r="A3038" i="1"/>
  <c r="D3038" i="1"/>
  <c r="A3039" i="1"/>
  <c r="D3039" i="1"/>
  <c r="A3040" i="1"/>
  <c r="D3040" i="1"/>
  <c r="A3041" i="1"/>
  <c r="D3041" i="1"/>
  <c r="A3042" i="1"/>
  <c r="D3042" i="1"/>
  <c r="A3043" i="1"/>
  <c r="D3043" i="1"/>
  <c r="A3044" i="1"/>
  <c r="D3044" i="1"/>
  <c r="A3045" i="1"/>
  <c r="D3045" i="1"/>
  <c r="A3046" i="1"/>
  <c r="D3046" i="1"/>
  <c r="A3047" i="1"/>
  <c r="D3047" i="1"/>
  <c r="A3048" i="1"/>
  <c r="D3048" i="1"/>
  <c r="A3049" i="1"/>
  <c r="D3049" i="1"/>
  <c r="A3050" i="1"/>
  <c r="D3050" i="1"/>
  <c r="A3051" i="1"/>
  <c r="D3051" i="1"/>
  <c r="A3052" i="1"/>
  <c r="D3052" i="1"/>
  <c r="A3053" i="1"/>
  <c r="D3053" i="1"/>
  <c r="A3054" i="1"/>
  <c r="D3054" i="1"/>
  <c r="A3055" i="1"/>
  <c r="D3055" i="1"/>
  <c r="A3056" i="1"/>
  <c r="D3056" i="1"/>
  <c r="A3057" i="1"/>
  <c r="D3057" i="1"/>
  <c r="A3058" i="1"/>
  <c r="D3058" i="1"/>
  <c r="A3059" i="1"/>
  <c r="D3059" i="1"/>
  <c r="A3060" i="1"/>
  <c r="D3060" i="1"/>
  <c r="A3061" i="1"/>
  <c r="D3061" i="1"/>
  <c r="A3062" i="1"/>
  <c r="D3062" i="1"/>
  <c r="A3063" i="1"/>
  <c r="D3063" i="1"/>
  <c r="A3064" i="1"/>
  <c r="D3064" i="1"/>
  <c r="A3065" i="1"/>
  <c r="D3065" i="1"/>
  <c r="A3066" i="1"/>
  <c r="D3066" i="1"/>
  <c r="A3067" i="1"/>
  <c r="D3067" i="1"/>
  <c r="A3068" i="1"/>
  <c r="D3068" i="1"/>
  <c r="A3069" i="1"/>
  <c r="D3069" i="1"/>
  <c r="A3070" i="1"/>
  <c r="D3070" i="1"/>
  <c r="A3071" i="1"/>
  <c r="D3071" i="1"/>
  <c r="A3072" i="1"/>
  <c r="D3072" i="1"/>
  <c r="A3073" i="1"/>
  <c r="D3073" i="1"/>
  <c r="A3074" i="1"/>
  <c r="D3074" i="1"/>
  <c r="A3075" i="1"/>
  <c r="D3075" i="1"/>
  <c r="A3076" i="1"/>
  <c r="D3076" i="1"/>
  <c r="A3077" i="1"/>
  <c r="D3077" i="1"/>
  <c r="A3078" i="1"/>
  <c r="D3078" i="1"/>
  <c r="A3079" i="1"/>
  <c r="D3079" i="1"/>
  <c r="A3080" i="1"/>
  <c r="D3080" i="1"/>
  <c r="A3081" i="1"/>
  <c r="D3081" i="1"/>
  <c r="A3082" i="1"/>
  <c r="D3082" i="1"/>
  <c r="A3083" i="1"/>
  <c r="D3083" i="1"/>
  <c r="A3084" i="1"/>
  <c r="D3084" i="1"/>
  <c r="A3085" i="1"/>
  <c r="D3085" i="1"/>
  <c r="A3086" i="1"/>
  <c r="D3086" i="1"/>
  <c r="A3087" i="1"/>
  <c r="D3087" i="1"/>
  <c r="A3088" i="1"/>
  <c r="D3088" i="1"/>
  <c r="A3089" i="1"/>
  <c r="D3089" i="1"/>
  <c r="A3090" i="1"/>
  <c r="D3090" i="1"/>
  <c r="A3091" i="1"/>
  <c r="D3091" i="1"/>
  <c r="A3092" i="1"/>
  <c r="D3092" i="1"/>
  <c r="A3093" i="1"/>
  <c r="D3093" i="1"/>
  <c r="A3094" i="1"/>
  <c r="D3094" i="1"/>
  <c r="A3095" i="1"/>
  <c r="D3095" i="1"/>
  <c r="A3096" i="1"/>
  <c r="D3096" i="1"/>
  <c r="A3097" i="1"/>
  <c r="D3097" i="1"/>
  <c r="A3098" i="1"/>
  <c r="D3098" i="1"/>
  <c r="A3099" i="1"/>
  <c r="D3099" i="1"/>
  <c r="A3100" i="1"/>
  <c r="D3100" i="1"/>
  <c r="A3101" i="1"/>
  <c r="D3101" i="1"/>
  <c r="A3102" i="1"/>
  <c r="D3102" i="1"/>
  <c r="A3103" i="1"/>
  <c r="D3103" i="1"/>
  <c r="A3104" i="1"/>
  <c r="D3104" i="1"/>
  <c r="A3105" i="1"/>
  <c r="D3105" i="1"/>
  <c r="A3106" i="1"/>
  <c r="D3106" i="1"/>
  <c r="A3107" i="1"/>
  <c r="D3107" i="1"/>
  <c r="A3108" i="1"/>
  <c r="D3108" i="1"/>
  <c r="A3109" i="1"/>
  <c r="D3109" i="1"/>
  <c r="A3110" i="1"/>
  <c r="D3110" i="1"/>
  <c r="A3111" i="1"/>
  <c r="D3111" i="1"/>
  <c r="A3112" i="1"/>
  <c r="D3112" i="1"/>
  <c r="A3113" i="1"/>
  <c r="D3113" i="1"/>
  <c r="A3114" i="1"/>
  <c r="D3114" i="1"/>
  <c r="A3115" i="1"/>
  <c r="D3115" i="1"/>
  <c r="A3116" i="1"/>
  <c r="D3116" i="1"/>
  <c r="A3117" i="1"/>
  <c r="D3117" i="1"/>
  <c r="A3118" i="1"/>
  <c r="D3118" i="1"/>
  <c r="A3119" i="1"/>
  <c r="D3119" i="1"/>
  <c r="A3120" i="1"/>
  <c r="D3120" i="1"/>
  <c r="A3121" i="1"/>
  <c r="D3121" i="1"/>
  <c r="A3122" i="1"/>
  <c r="D3122" i="1"/>
  <c r="A3123" i="1"/>
  <c r="D3123" i="1"/>
  <c r="A3124" i="1"/>
  <c r="D3124" i="1"/>
  <c r="A3125" i="1"/>
  <c r="D3125" i="1"/>
  <c r="A3126" i="1"/>
  <c r="D3126" i="1"/>
  <c r="A3127" i="1"/>
  <c r="D3127" i="1"/>
  <c r="A3128" i="1"/>
  <c r="D3128" i="1"/>
  <c r="A3129" i="1"/>
  <c r="D3129" i="1"/>
  <c r="A3130" i="1"/>
  <c r="D3130" i="1"/>
  <c r="A3131" i="1"/>
  <c r="D3131" i="1"/>
  <c r="A3132" i="1"/>
  <c r="D3132" i="1"/>
  <c r="A3133" i="1"/>
  <c r="D3133" i="1"/>
  <c r="A3134" i="1"/>
  <c r="D3134" i="1"/>
  <c r="A3135" i="1"/>
  <c r="D3135" i="1"/>
  <c r="A3136" i="1"/>
  <c r="D3136" i="1"/>
  <c r="A3137" i="1"/>
  <c r="D3137" i="1"/>
  <c r="A3138" i="1"/>
  <c r="D3138" i="1"/>
  <c r="A3139" i="1"/>
  <c r="D3139" i="1"/>
  <c r="A3140" i="1"/>
  <c r="D3140" i="1"/>
  <c r="A3141" i="1"/>
  <c r="D3141" i="1"/>
  <c r="A3142" i="1"/>
  <c r="D3142" i="1"/>
  <c r="A3143" i="1"/>
  <c r="D3143" i="1"/>
  <c r="A3144" i="1"/>
  <c r="D3144" i="1"/>
  <c r="A3145" i="1"/>
  <c r="D3145" i="1"/>
  <c r="A3146" i="1"/>
  <c r="D3146" i="1"/>
  <c r="A3147" i="1"/>
  <c r="D3147" i="1"/>
  <c r="A3148" i="1"/>
  <c r="D3148" i="1"/>
  <c r="A3149" i="1"/>
  <c r="D3149" i="1"/>
  <c r="A3150" i="1"/>
  <c r="D3150" i="1"/>
  <c r="A3151" i="1"/>
  <c r="D3151" i="1"/>
  <c r="A3152" i="1"/>
  <c r="D3152" i="1"/>
  <c r="A3153" i="1"/>
  <c r="D3153" i="1"/>
  <c r="A3154" i="1"/>
  <c r="D3154" i="1"/>
  <c r="A3155" i="1"/>
  <c r="D3155" i="1"/>
  <c r="A3156" i="1"/>
  <c r="D3156" i="1"/>
  <c r="A3157" i="1"/>
  <c r="D3157" i="1"/>
  <c r="A3158" i="1"/>
  <c r="D3158" i="1"/>
  <c r="A3159" i="1"/>
  <c r="D3159" i="1"/>
  <c r="A3160" i="1"/>
  <c r="D3160" i="1"/>
  <c r="A3161" i="1"/>
  <c r="D3161" i="1"/>
  <c r="A3162" i="1"/>
  <c r="D3162" i="1"/>
  <c r="A3163" i="1"/>
  <c r="D3163" i="1"/>
  <c r="A3164" i="1"/>
  <c r="D3164" i="1"/>
  <c r="A3165" i="1"/>
  <c r="D3165" i="1"/>
  <c r="A3166" i="1"/>
  <c r="D3166" i="1"/>
  <c r="A3167" i="1"/>
  <c r="D3167" i="1"/>
  <c r="A3168" i="1"/>
  <c r="D3168" i="1"/>
  <c r="A3169" i="1"/>
  <c r="D3169" i="1"/>
  <c r="A3170" i="1"/>
  <c r="D3170" i="1"/>
  <c r="A3171" i="1"/>
  <c r="D3171" i="1"/>
  <c r="A3172" i="1"/>
  <c r="D3172" i="1"/>
  <c r="A3173" i="1"/>
  <c r="D3173" i="1"/>
  <c r="A3174" i="1"/>
  <c r="D3174" i="1"/>
  <c r="A3175" i="1"/>
  <c r="D3175" i="1"/>
  <c r="A3176" i="1"/>
  <c r="D3176" i="1"/>
  <c r="A3177" i="1"/>
  <c r="D3177" i="1"/>
  <c r="A3178" i="1"/>
  <c r="D3178" i="1"/>
  <c r="A3179" i="1"/>
  <c r="D3179" i="1"/>
  <c r="A3180" i="1"/>
  <c r="D3180" i="1"/>
  <c r="A3181" i="1"/>
  <c r="D3181" i="1"/>
  <c r="A3182" i="1"/>
  <c r="D3182" i="1"/>
  <c r="A3183" i="1"/>
  <c r="D3183" i="1"/>
  <c r="A3184" i="1"/>
  <c r="D3184" i="1"/>
  <c r="A3185" i="1"/>
  <c r="D3185" i="1"/>
  <c r="A3186" i="1"/>
  <c r="D3186" i="1"/>
  <c r="A3187" i="1"/>
  <c r="D3187" i="1"/>
  <c r="A3188" i="1"/>
  <c r="D3188" i="1"/>
  <c r="A3189" i="1"/>
  <c r="D3189" i="1"/>
  <c r="A3190" i="1"/>
  <c r="D3190" i="1"/>
  <c r="A3191" i="1"/>
  <c r="D3191" i="1"/>
  <c r="A3192" i="1"/>
  <c r="D3192" i="1"/>
  <c r="A3193" i="1"/>
  <c r="D3193" i="1"/>
  <c r="A3194" i="1"/>
  <c r="D3194" i="1"/>
  <c r="A3195" i="1"/>
  <c r="D3195" i="1"/>
  <c r="A3196" i="1"/>
  <c r="D3196" i="1"/>
  <c r="A3197" i="1"/>
  <c r="D3197" i="1"/>
  <c r="A3198" i="1"/>
  <c r="D3198" i="1"/>
  <c r="A3199" i="1"/>
  <c r="D3199" i="1"/>
  <c r="A3200" i="1"/>
  <c r="D3200" i="1"/>
  <c r="A3201" i="1"/>
  <c r="D3201" i="1"/>
  <c r="A3202" i="1"/>
  <c r="D3202" i="1"/>
  <c r="A3203" i="1"/>
  <c r="D3203" i="1"/>
  <c r="A3204" i="1"/>
  <c r="D3204" i="1"/>
  <c r="A3205" i="1"/>
  <c r="D3205" i="1"/>
  <c r="A3206" i="1"/>
  <c r="D3206" i="1"/>
  <c r="A3207" i="1"/>
  <c r="D3207" i="1"/>
  <c r="A3208" i="1"/>
  <c r="D3208" i="1"/>
  <c r="A3209" i="1"/>
  <c r="D3209" i="1"/>
  <c r="A3210" i="1"/>
  <c r="D3210" i="1"/>
  <c r="A3211" i="1"/>
  <c r="D3211" i="1"/>
  <c r="A3212" i="1"/>
  <c r="D3212" i="1"/>
  <c r="A3213" i="1"/>
  <c r="D3213" i="1"/>
  <c r="A3214" i="1"/>
  <c r="D3214" i="1"/>
  <c r="A3215" i="1"/>
  <c r="D3215" i="1"/>
  <c r="A3216" i="1"/>
  <c r="D3216" i="1"/>
  <c r="A3217" i="1"/>
  <c r="D3217" i="1"/>
  <c r="A3218" i="1"/>
  <c r="D3218" i="1"/>
  <c r="A3219" i="1"/>
  <c r="D3219" i="1"/>
  <c r="A3220" i="1"/>
  <c r="D3220" i="1"/>
  <c r="A3221" i="1"/>
  <c r="D3221" i="1"/>
  <c r="A3222" i="1"/>
  <c r="D3222" i="1"/>
  <c r="A3223" i="1"/>
  <c r="D3223" i="1"/>
  <c r="A3224" i="1"/>
  <c r="D3224" i="1"/>
  <c r="A3225" i="1"/>
  <c r="D3225" i="1"/>
  <c r="A3226" i="1"/>
  <c r="D3226" i="1"/>
  <c r="A3227" i="1"/>
  <c r="D3227" i="1"/>
  <c r="A3228" i="1"/>
  <c r="D3228" i="1"/>
  <c r="A3229" i="1"/>
  <c r="D3229" i="1"/>
  <c r="A3230" i="1"/>
  <c r="D3230" i="1"/>
  <c r="A3231" i="1"/>
  <c r="D3231" i="1"/>
  <c r="A3232" i="1"/>
  <c r="D3232" i="1"/>
  <c r="A3233" i="1"/>
  <c r="D3233" i="1"/>
  <c r="A3234" i="1"/>
  <c r="D3234" i="1"/>
  <c r="A3235" i="1"/>
  <c r="D3235" i="1"/>
  <c r="A3236" i="1"/>
  <c r="D3236" i="1"/>
  <c r="A3237" i="1"/>
  <c r="D3237" i="1"/>
  <c r="A3238" i="1"/>
  <c r="D3238" i="1"/>
  <c r="A3239" i="1"/>
  <c r="D3239" i="1"/>
  <c r="A3240" i="1"/>
  <c r="D3240" i="1"/>
  <c r="A3241" i="1"/>
  <c r="D3241" i="1"/>
  <c r="A3242" i="1"/>
  <c r="D3242" i="1"/>
  <c r="A3243" i="1"/>
  <c r="D3243" i="1"/>
  <c r="A3244" i="1"/>
  <c r="D3244" i="1"/>
  <c r="A3245" i="1"/>
  <c r="D3245" i="1"/>
  <c r="A3246" i="1"/>
  <c r="D3246" i="1"/>
  <c r="A3247" i="1"/>
  <c r="D3247" i="1"/>
  <c r="A3248" i="1"/>
  <c r="D3248" i="1"/>
  <c r="A3249" i="1"/>
  <c r="D3249" i="1"/>
  <c r="A3250" i="1"/>
  <c r="D3250" i="1"/>
  <c r="A3251" i="1"/>
  <c r="D3251" i="1"/>
  <c r="A3252" i="1"/>
  <c r="D3252" i="1"/>
  <c r="A3253" i="1"/>
  <c r="D3253" i="1"/>
  <c r="A3254" i="1"/>
  <c r="D3254" i="1"/>
  <c r="A3255" i="1"/>
  <c r="D3255" i="1"/>
  <c r="A3256" i="1"/>
  <c r="D3256" i="1"/>
  <c r="A3257" i="1"/>
  <c r="D3257" i="1"/>
  <c r="A3258" i="1"/>
  <c r="D3258" i="1"/>
  <c r="A3259" i="1"/>
  <c r="D3259" i="1"/>
  <c r="A3260" i="1"/>
  <c r="D3260" i="1"/>
  <c r="A3261" i="1"/>
  <c r="D3261" i="1"/>
  <c r="A3262" i="1"/>
  <c r="D3262" i="1"/>
  <c r="A3263" i="1"/>
  <c r="D3263" i="1"/>
  <c r="A3264" i="1"/>
  <c r="D3264" i="1"/>
  <c r="A3265" i="1"/>
  <c r="D3265" i="1"/>
  <c r="A3266" i="1"/>
  <c r="D3266" i="1"/>
  <c r="A3267" i="1"/>
  <c r="D3267" i="1"/>
  <c r="A3268" i="1"/>
  <c r="D3268" i="1"/>
  <c r="A3269" i="1"/>
  <c r="D3269" i="1"/>
  <c r="A3270" i="1"/>
  <c r="D3270" i="1"/>
  <c r="A3271" i="1"/>
  <c r="D3271" i="1"/>
  <c r="A3272" i="1"/>
  <c r="D3272" i="1"/>
  <c r="A3273" i="1"/>
  <c r="D3273" i="1"/>
  <c r="A3274" i="1"/>
  <c r="D3274" i="1"/>
  <c r="A3275" i="1"/>
  <c r="D3275" i="1"/>
  <c r="A3276" i="1"/>
  <c r="D3276" i="1"/>
  <c r="A3277" i="1"/>
  <c r="D3277" i="1"/>
  <c r="A3278" i="1"/>
  <c r="D3278" i="1"/>
  <c r="A3279" i="1"/>
  <c r="D3279" i="1"/>
  <c r="A3280" i="1"/>
  <c r="D3280" i="1"/>
  <c r="A3281" i="1"/>
  <c r="D3281" i="1"/>
  <c r="A3282" i="1"/>
  <c r="D3282" i="1"/>
  <c r="A3283" i="1"/>
  <c r="D3283" i="1"/>
  <c r="A3284" i="1"/>
  <c r="D3284" i="1"/>
  <c r="A3285" i="1"/>
  <c r="D3285" i="1"/>
  <c r="A3286" i="1"/>
  <c r="D3286" i="1"/>
  <c r="A3287" i="1"/>
  <c r="D3287" i="1"/>
  <c r="A3288" i="1"/>
  <c r="D3288" i="1"/>
  <c r="A3289" i="1"/>
  <c r="D3289" i="1"/>
  <c r="A3290" i="1"/>
  <c r="D3290" i="1"/>
  <c r="A3291" i="1"/>
  <c r="D3291" i="1"/>
  <c r="A3292" i="1"/>
  <c r="D3292" i="1"/>
  <c r="A3293" i="1"/>
  <c r="D3293" i="1"/>
  <c r="A3294" i="1"/>
  <c r="D3294" i="1"/>
  <c r="A3295" i="1"/>
  <c r="D3295" i="1"/>
  <c r="A3296" i="1"/>
  <c r="D3296" i="1"/>
  <c r="A3297" i="1"/>
  <c r="D3297" i="1"/>
  <c r="A3298" i="1"/>
  <c r="D3298" i="1"/>
  <c r="A3299" i="1"/>
  <c r="D3299" i="1"/>
  <c r="A3300" i="1"/>
  <c r="D3300" i="1"/>
  <c r="A3301" i="1"/>
  <c r="D3301" i="1"/>
  <c r="A3302" i="1"/>
  <c r="D3302" i="1"/>
  <c r="A3303" i="1"/>
  <c r="D3303" i="1"/>
  <c r="A3304" i="1"/>
  <c r="D3304" i="1"/>
  <c r="A3305" i="1"/>
  <c r="D3305" i="1"/>
  <c r="A3306" i="1"/>
  <c r="D3306" i="1"/>
  <c r="A3307" i="1"/>
  <c r="D3307" i="1"/>
  <c r="A3308" i="1"/>
  <c r="D3308" i="1"/>
  <c r="A3309" i="1"/>
  <c r="D3309" i="1"/>
  <c r="A3310" i="1"/>
  <c r="D3310" i="1"/>
  <c r="A3311" i="1"/>
  <c r="D3311" i="1"/>
  <c r="A3312" i="1"/>
  <c r="D3312" i="1"/>
  <c r="A3313" i="1"/>
  <c r="D3313" i="1"/>
  <c r="A3314" i="1"/>
  <c r="D3314" i="1"/>
  <c r="A3315" i="1"/>
  <c r="D3315" i="1"/>
  <c r="A3316" i="1"/>
  <c r="D3316" i="1"/>
  <c r="A3317" i="1"/>
  <c r="D3317" i="1"/>
  <c r="A3318" i="1"/>
  <c r="D3318" i="1"/>
  <c r="A3319" i="1"/>
  <c r="D3319" i="1"/>
  <c r="A3320" i="1"/>
  <c r="D3320" i="1"/>
  <c r="A3321" i="1"/>
  <c r="D3321" i="1"/>
  <c r="A3322" i="1"/>
  <c r="D3322" i="1"/>
  <c r="A3323" i="1"/>
  <c r="D3323" i="1"/>
  <c r="A3324" i="1"/>
  <c r="D3324" i="1"/>
  <c r="A3325" i="1"/>
  <c r="D3325" i="1"/>
  <c r="A3326" i="1"/>
  <c r="D3326" i="1"/>
  <c r="A3327" i="1"/>
  <c r="D3327" i="1"/>
  <c r="A3328" i="1"/>
  <c r="D3328" i="1"/>
  <c r="A3329" i="1"/>
  <c r="D3329" i="1"/>
  <c r="A3330" i="1"/>
  <c r="D3330" i="1"/>
  <c r="A3331" i="1"/>
  <c r="D3331" i="1"/>
  <c r="A3332" i="1"/>
  <c r="D3332" i="1"/>
  <c r="A3333" i="1"/>
  <c r="D3333" i="1"/>
  <c r="A3334" i="1"/>
  <c r="D3334" i="1"/>
  <c r="A3335" i="1"/>
  <c r="D3335" i="1"/>
  <c r="A3336" i="1"/>
  <c r="D3336" i="1"/>
  <c r="A3337" i="1"/>
  <c r="D3337" i="1"/>
  <c r="A3338" i="1"/>
  <c r="D3338" i="1"/>
  <c r="A3339" i="1"/>
  <c r="D3339" i="1"/>
  <c r="A3340" i="1"/>
  <c r="D3340" i="1"/>
  <c r="A3341" i="1"/>
  <c r="D3341" i="1"/>
  <c r="A3342" i="1"/>
  <c r="D3342" i="1"/>
  <c r="A3343" i="1"/>
  <c r="D3343" i="1"/>
  <c r="A3344" i="1"/>
  <c r="D3344" i="1"/>
  <c r="A3345" i="1"/>
  <c r="D3345" i="1"/>
  <c r="A3346" i="1"/>
  <c r="D3346" i="1"/>
  <c r="A3347" i="1"/>
  <c r="D3347" i="1"/>
  <c r="A3348" i="1"/>
  <c r="D3348" i="1"/>
  <c r="A3349" i="1"/>
  <c r="D3349" i="1"/>
  <c r="A3350" i="1"/>
  <c r="D3350" i="1"/>
  <c r="A3351" i="1"/>
  <c r="D3351" i="1"/>
  <c r="A3352" i="1"/>
  <c r="D3352" i="1"/>
  <c r="A3353" i="1"/>
  <c r="D3353" i="1"/>
  <c r="A3354" i="1"/>
  <c r="D3354" i="1"/>
  <c r="A3355" i="1"/>
  <c r="D3355" i="1"/>
  <c r="A3356" i="1"/>
  <c r="D3356" i="1"/>
  <c r="A3357" i="1"/>
  <c r="D3357" i="1"/>
  <c r="A3358" i="1"/>
  <c r="D3358" i="1"/>
  <c r="A3359" i="1"/>
  <c r="D3359" i="1"/>
  <c r="A3360" i="1"/>
  <c r="D3360" i="1"/>
  <c r="A3361" i="1"/>
  <c r="D3361" i="1"/>
  <c r="A3362" i="1"/>
  <c r="D3362" i="1"/>
  <c r="A3363" i="1"/>
  <c r="D3363" i="1"/>
  <c r="A3364" i="1"/>
  <c r="D3364" i="1"/>
  <c r="A3365" i="1"/>
  <c r="D3365" i="1"/>
  <c r="A3366" i="1"/>
  <c r="D3366" i="1"/>
  <c r="A3367" i="1"/>
  <c r="D3367" i="1"/>
  <c r="A3368" i="1"/>
  <c r="D3368" i="1"/>
  <c r="A3369" i="1"/>
  <c r="D3369" i="1"/>
  <c r="A3370" i="1"/>
  <c r="D3370" i="1"/>
  <c r="A3371" i="1"/>
  <c r="D3371" i="1"/>
  <c r="A3372" i="1"/>
  <c r="D3372" i="1"/>
  <c r="A3373" i="1"/>
  <c r="D3373" i="1"/>
  <c r="A3374" i="1"/>
  <c r="D3374" i="1"/>
  <c r="A3375" i="1"/>
  <c r="D3375" i="1"/>
  <c r="A3376" i="1"/>
  <c r="D3376" i="1"/>
  <c r="A3377" i="1"/>
  <c r="D3377" i="1"/>
  <c r="A3378" i="1"/>
  <c r="D3378" i="1"/>
  <c r="A3379" i="1"/>
  <c r="D3379" i="1"/>
  <c r="A3380" i="1"/>
  <c r="D3380" i="1"/>
  <c r="A3381" i="1"/>
  <c r="D3381" i="1"/>
  <c r="A3382" i="1"/>
  <c r="D3382" i="1"/>
  <c r="A3383" i="1"/>
  <c r="D3383" i="1"/>
  <c r="A3384" i="1"/>
  <c r="D3384" i="1"/>
  <c r="A3385" i="1"/>
  <c r="D3385" i="1"/>
  <c r="A3386" i="1"/>
  <c r="D3386" i="1"/>
  <c r="A3387" i="1"/>
  <c r="D3387" i="1"/>
  <c r="A3388" i="1"/>
  <c r="D3388" i="1"/>
  <c r="A3389" i="1"/>
  <c r="D3389" i="1"/>
  <c r="A3390" i="1"/>
  <c r="D3390" i="1"/>
  <c r="A3391" i="1"/>
  <c r="D3391" i="1"/>
  <c r="A3392" i="1"/>
  <c r="D3392" i="1"/>
  <c r="A3393" i="1"/>
  <c r="D3393" i="1"/>
  <c r="A3394" i="1"/>
  <c r="D3394" i="1"/>
  <c r="A3395" i="1"/>
  <c r="D3395" i="1"/>
  <c r="A3396" i="1"/>
  <c r="D3396" i="1"/>
  <c r="A3397" i="1"/>
  <c r="D3397" i="1"/>
  <c r="A3398" i="1"/>
  <c r="D3398" i="1"/>
  <c r="A3399" i="1"/>
  <c r="D3399" i="1"/>
  <c r="A3400" i="1"/>
  <c r="D3400" i="1"/>
  <c r="A3401" i="1"/>
  <c r="D3401" i="1"/>
  <c r="A3402" i="1"/>
  <c r="D3402" i="1"/>
  <c r="A3403" i="1"/>
  <c r="D3403" i="1"/>
  <c r="A3404" i="1"/>
  <c r="D3404" i="1"/>
  <c r="A3405" i="1"/>
  <c r="D3405" i="1"/>
  <c r="A3406" i="1"/>
  <c r="D3406" i="1"/>
  <c r="A3407" i="1"/>
  <c r="D3407" i="1"/>
  <c r="A3408" i="1"/>
  <c r="D3408" i="1"/>
  <c r="A3409" i="1"/>
  <c r="D3409" i="1"/>
  <c r="A3410" i="1"/>
  <c r="D3410" i="1"/>
  <c r="A3411" i="1"/>
  <c r="D3411" i="1"/>
  <c r="A3412" i="1"/>
  <c r="D3412" i="1"/>
  <c r="A3413" i="1"/>
  <c r="D3413" i="1"/>
  <c r="A3414" i="1"/>
  <c r="D3414" i="1"/>
  <c r="A3415" i="1"/>
  <c r="D3415" i="1"/>
  <c r="A3416" i="1"/>
  <c r="D3416" i="1"/>
  <c r="A3417" i="1"/>
  <c r="D3417" i="1"/>
  <c r="A3418" i="1"/>
  <c r="D3418" i="1"/>
  <c r="A3419" i="1"/>
  <c r="D3419" i="1"/>
  <c r="A3420" i="1"/>
  <c r="D3420" i="1"/>
  <c r="A3421" i="1"/>
  <c r="D3421" i="1"/>
  <c r="A3422" i="1"/>
  <c r="D3422" i="1"/>
  <c r="A3423" i="1"/>
  <c r="D3423" i="1"/>
  <c r="A3424" i="1"/>
  <c r="D3424" i="1"/>
  <c r="A3425" i="1"/>
  <c r="D3425" i="1"/>
  <c r="A3426" i="1"/>
  <c r="D3426" i="1"/>
  <c r="A3427" i="1"/>
  <c r="D3427" i="1"/>
  <c r="A3428" i="1"/>
  <c r="D3428" i="1"/>
  <c r="A3429" i="1"/>
  <c r="D3429" i="1"/>
  <c r="A3430" i="1"/>
  <c r="D3430" i="1"/>
  <c r="A3431" i="1"/>
  <c r="D3431" i="1"/>
  <c r="A3432" i="1"/>
  <c r="D3432" i="1"/>
  <c r="A3433" i="1"/>
  <c r="D3433" i="1"/>
  <c r="A3434" i="1"/>
  <c r="D3434" i="1"/>
  <c r="A3435" i="1"/>
  <c r="D3435" i="1"/>
  <c r="A3436" i="1"/>
  <c r="D3436" i="1"/>
  <c r="A3437" i="1"/>
  <c r="D3437" i="1"/>
  <c r="A3438" i="1"/>
  <c r="D3438" i="1"/>
  <c r="A3439" i="1"/>
  <c r="D3439" i="1"/>
  <c r="A3440" i="1"/>
  <c r="D3440" i="1"/>
  <c r="A3441" i="1"/>
  <c r="D3441" i="1"/>
  <c r="A3442" i="1"/>
  <c r="D3442" i="1"/>
  <c r="A3443" i="1"/>
  <c r="D3443" i="1"/>
  <c r="A3444" i="1"/>
  <c r="D3444" i="1"/>
  <c r="A3445" i="1"/>
  <c r="D3445" i="1"/>
  <c r="A3446" i="1"/>
  <c r="D3446" i="1"/>
  <c r="A3447" i="1"/>
  <c r="D3447" i="1"/>
  <c r="A3448" i="1"/>
  <c r="D3448" i="1"/>
  <c r="A3449" i="1"/>
  <c r="D3449" i="1"/>
  <c r="A3450" i="1"/>
  <c r="D3450" i="1"/>
  <c r="A3451" i="1"/>
  <c r="D3451" i="1"/>
  <c r="A3452" i="1"/>
  <c r="D3452" i="1"/>
  <c r="A3453" i="1"/>
  <c r="D3453" i="1"/>
  <c r="A3454" i="1"/>
  <c r="D3454" i="1"/>
  <c r="A3455" i="1"/>
  <c r="D3455" i="1"/>
  <c r="A3456" i="1"/>
  <c r="D3456" i="1"/>
  <c r="A3457" i="1"/>
  <c r="D3457" i="1"/>
  <c r="A3458" i="1"/>
  <c r="D3458" i="1"/>
  <c r="A3459" i="1"/>
  <c r="D3459" i="1"/>
  <c r="A3460" i="1"/>
  <c r="D3460" i="1"/>
  <c r="A3461" i="1"/>
  <c r="D3461" i="1"/>
  <c r="A3462" i="1"/>
  <c r="D3462" i="1"/>
  <c r="A3463" i="1"/>
  <c r="D3463" i="1"/>
  <c r="A3464" i="1"/>
  <c r="D3464" i="1"/>
  <c r="A3465" i="1"/>
  <c r="D3465" i="1"/>
  <c r="A3466" i="1"/>
  <c r="D3466" i="1"/>
  <c r="A3467" i="1"/>
  <c r="D3467" i="1"/>
  <c r="A3468" i="1"/>
  <c r="D3468" i="1"/>
  <c r="A3469" i="1"/>
  <c r="D3469" i="1"/>
  <c r="A3470" i="1"/>
  <c r="D3470" i="1"/>
  <c r="A3471" i="1"/>
  <c r="D3471" i="1"/>
  <c r="A3472" i="1"/>
  <c r="D3472" i="1"/>
  <c r="A3473" i="1"/>
  <c r="D3473" i="1"/>
  <c r="A3474" i="1"/>
  <c r="D3474" i="1"/>
  <c r="A3475" i="1"/>
  <c r="D3475" i="1"/>
  <c r="A3476" i="1"/>
  <c r="D3476" i="1"/>
  <c r="A3477" i="1"/>
  <c r="D3477" i="1"/>
  <c r="A3478" i="1"/>
  <c r="D3478" i="1"/>
  <c r="A3479" i="1"/>
  <c r="D3479" i="1"/>
  <c r="A3480" i="1"/>
  <c r="D3480" i="1"/>
  <c r="A3481" i="1"/>
  <c r="D3481" i="1"/>
  <c r="A3482" i="1"/>
  <c r="D3482" i="1"/>
  <c r="A3483" i="1"/>
  <c r="D3483" i="1"/>
  <c r="A3484" i="1"/>
  <c r="D3484" i="1"/>
  <c r="A3485" i="1"/>
  <c r="D3485" i="1"/>
  <c r="A3486" i="1"/>
  <c r="D3486" i="1"/>
  <c r="A3487" i="1"/>
  <c r="D3487" i="1"/>
  <c r="A3488" i="1"/>
  <c r="D3488" i="1"/>
  <c r="A3489" i="1"/>
  <c r="D3489" i="1"/>
  <c r="A3490" i="1"/>
  <c r="D3490" i="1"/>
  <c r="A3491" i="1"/>
  <c r="D3491" i="1"/>
  <c r="A3492" i="1"/>
  <c r="D3492" i="1"/>
  <c r="A3493" i="1"/>
  <c r="D3493" i="1"/>
  <c r="A3494" i="1"/>
  <c r="D3494" i="1"/>
  <c r="A3495" i="1"/>
  <c r="D3495" i="1"/>
  <c r="A3496" i="1"/>
  <c r="D3496" i="1"/>
  <c r="A3497" i="1"/>
  <c r="D3497" i="1"/>
  <c r="A3498" i="1"/>
  <c r="D3498" i="1"/>
  <c r="A3499" i="1"/>
  <c r="D3499" i="1"/>
  <c r="A3500" i="1"/>
  <c r="D3500" i="1"/>
  <c r="A3501" i="1"/>
  <c r="D3501" i="1"/>
  <c r="A3502" i="1"/>
  <c r="D3502" i="1"/>
  <c r="A3503" i="1"/>
  <c r="D3503" i="1"/>
  <c r="A3504" i="1"/>
  <c r="D3504" i="1"/>
  <c r="A3505" i="1"/>
  <c r="D3505" i="1"/>
  <c r="A3506" i="1"/>
  <c r="D3506" i="1"/>
  <c r="A3507" i="1"/>
  <c r="D3507" i="1"/>
  <c r="A3508" i="1"/>
  <c r="D3508" i="1"/>
  <c r="A3509" i="1"/>
  <c r="D3509" i="1"/>
  <c r="A3510" i="1"/>
  <c r="D3510" i="1"/>
  <c r="A3511" i="1"/>
  <c r="D3511" i="1"/>
  <c r="A3512" i="1"/>
  <c r="D3512" i="1"/>
  <c r="A3513" i="1"/>
  <c r="D3513" i="1"/>
  <c r="A3514" i="1"/>
  <c r="D3514" i="1"/>
  <c r="A3515" i="1"/>
  <c r="D3515" i="1"/>
  <c r="A3516" i="1"/>
  <c r="D3516" i="1"/>
  <c r="A3517" i="1"/>
  <c r="D3517" i="1"/>
  <c r="A3518" i="1"/>
  <c r="D3518" i="1"/>
  <c r="A3519" i="1"/>
  <c r="D3519" i="1"/>
  <c r="A3520" i="1"/>
  <c r="D3520" i="1"/>
  <c r="A3521" i="1"/>
  <c r="D3521" i="1"/>
  <c r="A3522" i="1"/>
  <c r="D3522" i="1"/>
  <c r="A3523" i="1"/>
  <c r="D3523" i="1"/>
  <c r="A3524" i="1"/>
  <c r="D3524" i="1"/>
  <c r="A3525" i="1"/>
  <c r="D3525" i="1"/>
  <c r="A3526" i="1"/>
  <c r="D3526" i="1"/>
  <c r="A3527" i="1"/>
  <c r="D3527" i="1"/>
  <c r="A3528" i="1"/>
  <c r="D3528" i="1"/>
  <c r="A3529" i="1"/>
  <c r="D3529" i="1"/>
  <c r="A3530" i="1"/>
  <c r="D3530" i="1"/>
  <c r="A3531" i="1"/>
  <c r="D3531" i="1"/>
  <c r="A3532" i="1"/>
  <c r="D3532" i="1"/>
  <c r="A3533" i="1"/>
  <c r="D3533" i="1"/>
  <c r="A3534" i="1"/>
  <c r="D3534" i="1"/>
  <c r="A3535" i="1"/>
  <c r="D3535" i="1"/>
  <c r="A3536" i="1"/>
  <c r="D3536" i="1"/>
  <c r="A3537" i="1"/>
  <c r="D3537" i="1"/>
  <c r="A3538" i="1"/>
  <c r="D3538" i="1"/>
  <c r="A3539" i="1"/>
  <c r="D3539" i="1"/>
  <c r="A3540" i="1"/>
  <c r="D3540" i="1"/>
  <c r="A3541" i="1"/>
  <c r="D3541" i="1"/>
  <c r="A3542" i="1"/>
  <c r="D3542" i="1"/>
  <c r="A3543" i="1"/>
  <c r="D3543" i="1"/>
  <c r="A3544" i="1"/>
  <c r="D3544" i="1"/>
  <c r="A3545" i="1"/>
  <c r="D3545" i="1"/>
  <c r="A3546" i="1"/>
  <c r="D3546" i="1"/>
  <c r="A3547" i="1"/>
  <c r="D3547" i="1"/>
  <c r="A3548" i="1"/>
  <c r="D3548" i="1"/>
  <c r="A3549" i="1"/>
  <c r="D3549" i="1"/>
  <c r="A3550" i="1"/>
  <c r="D3550" i="1"/>
  <c r="A3551" i="1"/>
  <c r="D3551" i="1"/>
  <c r="A3552" i="1"/>
  <c r="D3552" i="1"/>
  <c r="A3553" i="1"/>
  <c r="D3553" i="1"/>
  <c r="A3554" i="1"/>
  <c r="D3554" i="1"/>
  <c r="A3555" i="1"/>
  <c r="D3555" i="1"/>
  <c r="A3556" i="1"/>
  <c r="D3556" i="1"/>
  <c r="A3557" i="1"/>
  <c r="D3557" i="1"/>
  <c r="A3558" i="1"/>
  <c r="D3558" i="1"/>
  <c r="A3559" i="1"/>
  <c r="D3559" i="1"/>
  <c r="A3560" i="1"/>
  <c r="D3560" i="1"/>
  <c r="A3561" i="1"/>
  <c r="D3561" i="1"/>
  <c r="A3562" i="1"/>
  <c r="D3562" i="1"/>
  <c r="A3563" i="1"/>
  <c r="D3563" i="1"/>
  <c r="A3564" i="1"/>
  <c r="D3564" i="1"/>
  <c r="A3565" i="1"/>
  <c r="D3565" i="1"/>
  <c r="A3566" i="1"/>
  <c r="D3566" i="1"/>
  <c r="A3567" i="1"/>
  <c r="D3567" i="1"/>
  <c r="A3568" i="1"/>
  <c r="D3568" i="1"/>
  <c r="A3569" i="1"/>
  <c r="D3569" i="1"/>
  <c r="A3570" i="1"/>
  <c r="D3570" i="1"/>
  <c r="A3571" i="1"/>
  <c r="D3571" i="1"/>
  <c r="A3572" i="1"/>
  <c r="D3572" i="1"/>
  <c r="A3573" i="1"/>
  <c r="D3573" i="1"/>
  <c r="A3574" i="1"/>
  <c r="D3574" i="1"/>
  <c r="A3575" i="1"/>
  <c r="D3575" i="1"/>
  <c r="A3576" i="1"/>
  <c r="D3576" i="1"/>
  <c r="A3577" i="1"/>
  <c r="D3577" i="1"/>
  <c r="A3578" i="1"/>
  <c r="D3578" i="1"/>
  <c r="A3579" i="1"/>
  <c r="D3579" i="1"/>
  <c r="A3580" i="1"/>
  <c r="D3580" i="1"/>
  <c r="A3581" i="1"/>
  <c r="D3581" i="1"/>
  <c r="A3582" i="1"/>
  <c r="D3582" i="1"/>
  <c r="A3583" i="1"/>
  <c r="D3583" i="1"/>
  <c r="A3584" i="1"/>
  <c r="D3584" i="1"/>
  <c r="A3585" i="1"/>
  <c r="D3585" i="1"/>
  <c r="A3586" i="1"/>
  <c r="D3586" i="1"/>
  <c r="A3587" i="1"/>
  <c r="D3587" i="1"/>
  <c r="A3588" i="1"/>
  <c r="D3588" i="1"/>
  <c r="A3589" i="1"/>
  <c r="D3589" i="1"/>
  <c r="A3590" i="1"/>
  <c r="D3590" i="1"/>
  <c r="A3591" i="1"/>
  <c r="D3591" i="1"/>
  <c r="A3592" i="1"/>
  <c r="D3592" i="1"/>
  <c r="A3593" i="1"/>
  <c r="D3593" i="1"/>
  <c r="A3594" i="1"/>
  <c r="D3594" i="1"/>
  <c r="A3595" i="1"/>
  <c r="D3595" i="1"/>
  <c r="A3596" i="1"/>
  <c r="D3596" i="1"/>
  <c r="A3597" i="1"/>
  <c r="D3597" i="1"/>
  <c r="A3598" i="1"/>
  <c r="D3598" i="1"/>
  <c r="A3599" i="1"/>
  <c r="D3599" i="1"/>
  <c r="A3600" i="1"/>
  <c r="D3600" i="1"/>
  <c r="A3601" i="1"/>
  <c r="D3601" i="1"/>
  <c r="A3602" i="1"/>
  <c r="D3602" i="1"/>
  <c r="A3603" i="1"/>
  <c r="D3603" i="1"/>
  <c r="A3604" i="1"/>
  <c r="D3604" i="1"/>
  <c r="A3605" i="1"/>
  <c r="D3605" i="1"/>
  <c r="A3606" i="1"/>
  <c r="D3606" i="1"/>
  <c r="A3607" i="1"/>
  <c r="D3607" i="1"/>
  <c r="A3608" i="1"/>
  <c r="D3608" i="1"/>
  <c r="A3609" i="1"/>
  <c r="D3609" i="1"/>
  <c r="A3610" i="1"/>
  <c r="D3610" i="1"/>
  <c r="A3611" i="1"/>
  <c r="D3611" i="1"/>
  <c r="A3612" i="1"/>
  <c r="D3612" i="1"/>
  <c r="A3613" i="1"/>
  <c r="D3613" i="1"/>
  <c r="A3614" i="1"/>
  <c r="D3614" i="1"/>
  <c r="A3615" i="1"/>
  <c r="D3615" i="1"/>
  <c r="A3616" i="1"/>
  <c r="D3616" i="1"/>
  <c r="A3617" i="1"/>
  <c r="D3617" i="1"/>
  <c r="A3618" i="1"/>
  <c r="D3618" i="1"/>
  <c r="A3619" i="1"/>
  <c r="D3619" i="1"/>
  <c r="A3620" i="1"/>
  <c r="D3620" i="1"/>
  <c r="A3621" i="1"/>
  <c r="D3621" i="1"/>
  <c r="A3622" i="1"/>
  <c r="D3622" i="1"/>
  <c r="A3623" i="1"/>
  <c r="D3623" i="1"/>
  <c r="A3624" i="1"/>
  <c r="D3624" i="1"/>
  <c r="A3625" i="1"/>
  <c r="D3625" i="1"/>
  <c r="A3626" i="1"/>
  <c r="D3626" i="1"/>
  <c r="A3627" i="1"/>
  <c r="D3627" i="1"/>
  <c r="A3628" i="1"/>
  <c r="D3628" i="1"/>
  <c r="A3629" i="1"/>
  <c r="D3629" i="1"/>
  <c r="A3630" i="1"/>
  <c r="D3630" i="1"/>
  <c r="A3631" i="1"/>
  <c r="D3631" i="1"/>
  <c r="A3632" i="1"/>
  <c r="D3632" i="1"/>
  <c r="A3633" i="1"/>
  <c r="D3633" i="1"/>
  <c r="A3634" i="1"/>
  <c r="D3634" i="1"/>
  <c r="A3635" i="1"/>
  <c r="D3635" i="1"/>
  <c r="A3636" i="1"/>
  <c r="D3636" i="1"/>
  <c r="A3637" i="1"/>
  <c r="D3637" i="1"/>
  <c r="A3638" i="1"/>
  <c r="D3638" i="1"/>
  <c r="A3639" i="1"/>
  <c r="D3639" i="1"/>
  <c r="A3640" i="1"/>
  <c r="D3640" i="1"/>
  <c r="A3641" i="1"/>
  <c r="D3641" i="1"/>
  <c r="A3642" i="1"/>
  <c r="D3642" i="1"/>
  <c r="A3643" i="1"/>
  <c r="D3643" i="1"/>
  <c r="A3644" i="1"/>
  <c r="D3644" i="1"/>
  <c r="A3645" i="1"/>
  <c r="D3645" i="1"/>
  <c r="A3646" i="1"/>
  <c r="D3646" i="1"/>
  <c r="A3647" i="1"/>
  <c r="D3647" i="1"/>
  <c r="A3648" i="1"/>
  <c r="D3648" i="1"/>
  <c r="A3649" i="1"/>
  <c r="D3649" i="1"/>
  <c r="A3650" i="1"/>
  <c r="D3650" i="1"/>
  <c r="A3651" i="1"/>
  <c r="D3651" i="1"/>
  <c r="A3652" i="1"/>
  <c r="D3652" i="1"/>
  <c r="A3653" i="1"/>
  <c r="D3653" i="1"/>
  <c r="A3654" i="1"/>
  <c r="D3654" i="1"/>
  <c r="A3655" i="1"/>
  <c r="D3655" i="1"/>
  <c r="A3656" i="1"/>
  <c r="D3656" i="1"/>
  <c r="A3657" i="1"/>
  <c r="D3657" i="1"/>
  <c r="A3658" i="1"/>
  <c r="D3658" i="1"/>
  <c r="A3659" i="1"/>
  <c r="D3659" i="1"/>
  <c r="A3660" i="1"/>
  <c r="D3660" i="1"/>
  <c r="A3661" i="1"/>
  <c r="D3661" i="1"/>
  <c r="A3662" i="1"/>
  <c r="D3662" i="1"/>
  <c r="A3663" i="1"/>
  <c r="D3663" i="1"/>
  <c r="A3664" i="1"/>
  <c r="D3664" i="1"/>
  <c r="A3665" i="1"/>
  <c r="D3665" i="1"/>
  <c r="A3666" i="1"/>
  <c r="D3666" i="1"/>
  <c r="A3667" i="1"/>
  <c r="D3667" i="1"/>
  <c r="A3668" i="1"/>
  <c r="D3668" i="1"/>
  <c r="A3669" i="1"/>
  <c r="D3669" i="1"/>
  <c r="A3670" i="1"/>
  <c r="D3670" i="1"/>
  <c r="A3671" i="1"/>
  <c r="D3671" i="1"/>
  <c r="A3672" i="1"/>
  <c r="D3672" i="1"/>
  <c r="A3673" i="1"/>
  <c r="D3673" i="1"/>
  <c r="A3674" i="1"/>
  <c r="D3674" i="1"/>
  <c r="A3675" i="1"/>
  <c r="D3675" i="1"/>
  <c r="A3676" i="1"/>
  <c r="D3676" i="1"/>
  <c r="A3677" i="1"/>
  <c r="D3677" i="1"/>
  <c r="A3678" i="1"/>
  <c r="D3678" i="1"/>
  <c r="A3679" i="1"/>
  <c r="D3679" i="1"/>
  <c r="A3680" i="1"/>
  <c r="D3680" i="1"/>
  <c r="A3681" i="1"/>
  <c r="D3681" i="1"/>
  <c r="A3682" i="1"/>
  <c r="D3682" i="1"/>
  <c r="A3683" i="1"/>
  <c r="D3683" i="1"/>
  <c r="A3684" i="1"/>
  <c r="D3684" i="1"/>
  <c r="A3685" i="1"/>
  <c r="D3685" i="1"/>
  <c r="A3686" i="1"/>
  <c r="D3686" i="1"/>
  <c r="A3687" i="1"/>
  <c r="D3687" i="1"/>
  <c r="A3688" i="1"/>
  <c r="D3688" i="1"/>
  <c r="A3689" i="1"/>
  <c r="D3689" i="1"/>
  <c r="A3690" i="1"/>
  <c r="D3690" i="1"/>
  <c r="A3691" i="1"/>
  <c r="D3691" i="1"/>
  <c r="A3692" i="1"/>
  <c r="D3692" i="1"/>
  <c r="A3693" i="1"/>
  <c r="D3693" i="1"/>
  <c r="A3694" i="1"/>
  <c r="D3694" i="1"/>
  <c r="A3695" i="1"/>
  <c r="D3695" i="1"/>
  <c r="A3696" i="1"/>
  <c r="D3696" i="1"/>
  <c r="A3697" i="1"/>
  <c r="D3697" i="1"/>
  <c r="A3698" i="1"/>
  <c r="D3698" i="1"/>
  <c r="A3699" i="1"/>
  <c r="D3699" i="1"/>
  <c r="A3700" i="1"/>
  <c r="D3700" i="1"/>
  <c r="A3701" i="1"/>
  <c r="D3701" i="1"/>
  <c r="A3702" i="1"/>
  <c r="D3702" i="1"/>
  <c r="A3703" i="1"/>
  <c r="D3703" i="1"/>
  <c r="A3704" i="1"/>
  <c r="D3704" i="1"/>
  <c r="A3705" i="1"/>
  <c r="D3705" i="1"/>
  <c r="A3706" i="1"/>
  <c r="D3706" i="1"/>
  <c r="A3707" i="1"/>
  <c r="D3707" i="1"/>
  <c r="A3708" i="1"/>
  <c r="D3708" i="1"/>
  <c r="A3709" i="1"/>
  <c r="D3709" i="1"/>
  <c r="A3710" i="1"/>
  <c r="D3710" i="1"/>
  <c r="A3711" i="1"/>
  <c r="D3711" i="1"/>
  <c r="A3712" i="1"/>
  <c r="D3712" i="1"/>
  <c r="A3713" i="1"/>
  <c r="D3713" i="1"/>
  <c r="A3714" i="1"/>
  <c r="D3714" i="1"/>
  <c r="A3715" i="1"/>
  <c r="D3715" i="1"/>
  <c r="A3716" i="1"/>
  <c r="D3716" i="1"/>
  <c r="A3717" i="1"/>
  <c r="D3717" i="1"/>
  <c r="A3718" i="1"/>
  <c r="D3718" i="1"/>
  <c r="A3719" i="1"/>
  <c r="D3719" i="1"/>
  <c r="A3720" i="1"/>
  <c r="D3720" i="1"/>
  <c r="A3721" i="1"/>
  <c r="D3721" i="1"/>
  <c r="A3722" i="1"/>
  <c r="D3722" i="1"/>
  <c r="A3723" i="1"/>
  <c r="D3723" i="1"/>
  <c r="A3724" i="1"/>
  <c r="D3724" i="1"/>
  <c r="A3725" i="1"/>
  <c r="D3725" i="1"/>
  <c r="A3726" i="1"/>
  <c r="D3726" i="1"/>
  <c r="A3727" i="1"/>
  <c r="D3727" i="1"/>
  <c r="A3728" i="1"/>
  <c r="D3728" i="1"/>
  <c r="A3729" i="1"/>
  <c r="D3729" i="1"/>
  <c r="A3730" i="1"/>
  <c r="D3730" i="1"/>
  <c r="A3731" i="1"/>
  <c r="D3731" i="1"/>
  <c r="A3732" i="1"/>
  <c r="D3732" i="1"/>
  <c r="A3733" i="1"/>
  <c r="D3733" i="1"/>
  <c r="A3734" i="1"/>
  <c r="D3734" i="1"/>
  <c r="A3735" i="1"/>
  <c r="D3735" i="1"/>
  <c r="A3736" i="1"/>
  <c r="D3736" i="1"/>
  <c r="A3737" i="1"/>
  <c r="D3737" i="1"/>
  <c r="A3738" i="1"/>
  <c r="D3738" i="1"/>
  <c r="A3739" i="1"/>
  <c r="D3739" i="1"/>
  <c r="A3740" i="1"/>
  <c r="D3740" i="1"/>
  <c r="A3741" i="1"/>
  <c r="D3741" i="1"/>
  <c r="A3742" i="1"/>
  <c r="D3742" i="1"/>
  <c r="A3743" i="1"/>
  <c r="D3743" i="1"/>
  <c r="A3744" i="1"/>
  <c r="D3744" i="1"/>
  <c r="A3745" i="1"/>
  <c r="D3745" i="1"/>
  <c r="A3746" i="1"/>
  <c r="D3746" i="1"/>
  <c r="A3747" i="1"/>
  <c r="D3747" i="1"/>
  <c r="A3748" i="1"/>
  <c r="D3748" i="1"/>
  <c r="A3749" i="1"/>
  <c r="D3749" i="1"/>
  <c r="A3750" i="1"/>
  <c r="D3750" i="1"/>
  <c r="A3751" i="1"/>
  <c r="D3751" i="1"/>
  <c r="A3752" i="1"/>
  <c r="D3752" i="1"/>
  <c r="A3753" i="1"/>
  <c r="D3753" i="1"/>
  <c r="A3754" i="1"/>
  <c r="D3754" i="1"/>
  <c r="A3755" i="1"/>
  <c r="D3755" i="1"/>
  <c r="A3756" i="1"/>
  <c r="D3756" i="1"/>
  <c r="A3757" i="1"/>
  <c r="D3757" i="1"/>
  <c r="A3758" i="1"/>
  <c r="D3758" i="1"/>
  <c r="A3759" i="1"/>
  <c r="D3759" i="1"/>
  <c r="A3760" i="1"/>
  <c r="D3760" i="1"/>
  <c r="A3761" i="1"/>
  <c r="D3761" i="1"/>
  <c r="A3762" i="1"/>
  <c r="D3762" i="1"/>
  <c r="A3763" i="1"/>
  <c r="D3763" i="1"/>
  <c r="A3764" i="1"/>
  <c r="D3764" i="1"/>
  <c r="A3765" i="1"/>
  <c r="D3765" i="1"/>
  <c r="A3766" i="1"/>
  <c r="D3766" i="1"/>
  <c r="A3767" i="1"/>
  <c r="D3767" i="1"/>
  <c r="A3768" i="1"/>
  <c r="D3768" i="1"/>
  <c r="A3769" i="1"/>
  <c r="D3769" i="1"/>
  <c r="A3770" i="1"/>
  <c r="D3770" i="1"/>
  <c r="A3771" i="1"/>
  <c r="D3771" i="1"/>
  <c r="A3772" i="1"/>
  <c r="D3772" i="1"/>
  <c r="A3773" i="1"/>
  <c r="D3773" i="1"/>
  <c r="A3774" i="1"/>
  <c r="D3774" i="1"/>
  <c r="A3775" i="1"/>
  <c r="D3775" i="1"/>
  <c r="A3776" i="1"/>
  <c r="D3776" i="1"/>
  <c r="A3777" i="1"/>
  <c r="D3777" i="1"/>
  <c r="A3778" i="1"/>
  <c r="D3778" i="1"/>
  <c r="A3779" i="1"/>
  <c r="D3779" i="1"/>
  <c r="A3780" i="1"/>
  <c r="D3780" i="1"/>
  <c r="A3781" i="1"/>
  <c r="D3781" i="1"/>
  <c r="A3782" i="1"/>
  <c r="D3782" i="1"/>
  <c r="A3783" i="1"/>
  <c r="D3783" i="1"/>
  <c r="A3784" i="1"/>
  <c r="D3784" i="1"/>
  <c r="A3785" i="1"/>
  <c r="D3785" i="1"/>
  <c r="A3786" i="1"/>
  <c r="D3786" i="1"/>
  <c r="A3787" i="1"/>
  <c r="D3787" i="1"/>
  <c r="A3788" i="1"/>
  <c r="D3788" i="1"/>
  <c r="A3789" i="1"/>
  <c r="D3789" i="1"/>
  <c r="A3790" i="1"/>
  <c r="D3790" i="1"/>
  <c r="A3791" i="1"/>
  <c r="D3791" i="1"/>
  <c r="A3792" i="1"/>
  <c r="D3792" i="1"/>
  <c r="A3793" i="1"/>
  <c r="D3793" i="1"/>
  <c r="A3794" i="1"/>
  <c r="D3794" i="1"/>
  <c r="A3795" i="1"/>
  <c r="D3795" i="1"/>
  <c r="A3796" i="1"/>
  <c r="D3796" i="1"/>
  <c r="A3797" i="1"/>
  <c r="D3797" i="1"/>
  <c r="A3798" i="1"/>
  <c r="D3798" i="1"/>
  <c r="A3799" i="1"/>
  <c r="D3799" i="1"/>
  <c r="A3800" i="1"/>
  <c r="D3800" i="1"/>
  <c r="A3801" i="1"/>
  <c r="D3801" i="1"/>
  <c r="A3802" i="1"/>
  <c r="D3802" i="1"/>
  <c r="A3803" i="1"/>
  <c r="D3803" i="1"/>
  <c r="A3804" i="1"/>
  <c r="D3804" i="1"/>
  <c r="A3805" i="1"/>
  <c r="D3805" i="1"/>
  <c r="A3806" i="1"/>
  <c r="D3806" i="1"/>
  <c r="A3807" i="1"/>
  <c r="D3807" i="1"/>
  <c r="A3808" i="1"/>
  <c r="D3808" i="1"/>
  <c r="A3809" i="1"/>
  <c r="D3809" i="1"/>
  <c r="A3810" i="1"/>
  <c r="D3810" i="1"/>
  <c r="A3811" i="1"/>
  <c r="D3811" i="1"/>
  <c r="A3812" i="1"/>
  <c r="D3812" i="1"/>
  <c r="A3813" i="1"/>
  <c r="D3813" i="1"/>
  <c r="A3814" i="1"/>
  <c r="D3814" i="1"/>
  <c r="A3815" i="1"/>
  <c r="D3815" i="1"/>
  <c r="A3816" i="1"/>
  <c r="D3816" i="1"/>
  <c r="A3817" i="1"/>
  <c r="D3817" i="1"/>
  <c r="A3818" i="1"/>
  <c r="D3818" i="1"/>
  <c r="A3819" i="1"/>
  <c r="D3819" i="1"/>
  <c r="A3820" i="1"/>
  <c r="D3820" i="1"/>
  <c r="A3821" i="1"/>
  <c r="D3821" i="1"/>
  <c r="A3822" i="1"/>
  <c r="D3822" i="1"/>
  <c r="A3823" i="1"/>
  <c r="D3823" i="1"/>
  <c r="A3824" i="1"/>
  <c r="D3824" i="1"/>
  <c r="A3825" i="1"/>
  <c r="D3825" i="1"/>
  <c r="A3826" i="1"/>
  <c r="D3826" i="1"/>
  <c r="A3827" i="1"/>
  <c r="D3827" i="1"/>
  <c r="A3828" i="1"/>
  <c r="D3828" i="1"/>
  <c r="A3829" i="1"/>
  <c r="D3829" i="1"/>
  <c r="A3830" i="1"/>
  <c r="D3830" i="1"/>
  <c r="A3831" i="1"/>
  <c r="D3831" i="1"/>
  <c r="A3832" i="1"/>
  <c r="D3832" i="1"/>
  <c r="A3833" i="1"/>
  <c r="D3833" i="1"/>
  <c r="A3834" i="1"/>
  <c r="D3834" i="1"/>
  <c r="A3835" i="1"/>
  <c r="D3835" i="1"/>
  <c r="A3836" i="1"/>
  <c r="D3836" i="1"/>
  <c r="A3837" i="1"/>
  <c r="D3837" i="1"/>
  <c r="A3838" i="1"/>
  <c r="D3838" i="1"/>
  <c r="A3839" i="1"/>
  <c r="D3839" i="1"/>
  <c r="A3840" i="1"/>
  <c r="D3840" i="1"/>
  <c r="A3841" i="1"/>
  <c r="D3841" i="1"/>
  <c r="A3842" i="1"/>
  <c r="D3842" i="1"/>
  <c r="A3843" i="1"/>
  <c r="D3843" i="1"/>
  <c r="A3844" i="1"/>
  <c r="D3844" i="1"/>
  <c r="A3845" i="1"/>
  <c r="D3845" i="1"/>
  <c r="A3846" i="1"/>
  <c r="D3846" i="1"/>
  <c r="A3847" i="1"/>
  <c r="D3847" i="1"/>
  <c r="A3848" i="1"/>
  <c r="D3848" i="1"/>
  <c r="A3849" i="1"/>
  <c r="D3849" i="1"/>
  <c r="A3850" i="1"/>
  <c r="D3850" i="1"/>
  <c r="A3851" i="1"/>
  <c r="D3851" i="1"/>
  <c r="A3852" i="1"/>
  <c r="D3852" i="1"/>
  <c r="A3853" i="1"/>
  <c r="D3853" i="1"/>
  <c r="A3854" i="1"/>
  <c r="D3854" i="1"/>
  <c r="A3855" i="1"/>
  <c r="D3855" i="1"/>
  <c r="A3856" i="1"/>
  <c r="D3856" i="1"/>
  <c r="A3857" i="1"/>
  <c r="D3857" i="1"/>
  <c r="A3858" i="1"/>
  <c r="D3858" i="1"/>
  <c r="A3859" i="1"/>
  <c r="D3859" i="1"/>
  <c r="A3860" i="1"/>
  <c r="D3860" i="1"/>
  <c r="A3861" i="1"/>
  <c r="D3861" i="1"/>
  <c r="A3862" i="1"/>
  <c r="D3862" i="1"/>
  <c r="A3863" i="1"/>
  <c r="D3863" i="1"/>
  <c r="A3864" i="1"/>
  <c r="D3864" i="1"/>
  <c r="A3865" i="1"/>
  <c r="D3865" i="1"/>
  <c r="A3866" i="1"/>
  <c r="D3866" i="1"/>
  <c r="A3867" i="1"/>
  <c r="D3867" i="1"/>
  <c r="A3868" i="1"/>
  <c r="D3868" i="1"/>
  <c r="A3869" i="1"/>
  <c r="D3869" i="1"/>
  <c r="A3870" i="1"/>
  <c r="D3870" i="1"/>
  <c r="A3871" i="1"/>
  <c r="D3871" i="1"/>
  <c r="A3872" i="1"/>
  <c r="D3872" i="1"/>
  <c r="A3873" i="1"/>
  <c r="D3873" i="1"/>
  <c r="A3874" i="1"/>
  <c r="D3874" i="1"/>
  <c r="A3875" i="1"/>
  <c r="D3875" i="1"/>
  <c r="A3876" i="1"/>
  <c r="D3876" i="1"/>
  <c r="A3877" i="1"/>
  <c r="D3877" i="1"/>
  <c r="A3878" i="1"/>
  <c r="D3878" i="1"/>
  <c r="A3879" i="1"/>
  <c r="D3879" i="1"/>
  <c r="A3880" i="1"/>
  <c r="D3880" i="1"/>
  <c r="A3881" i="1"/>
  <c r="D3881" i="1"/>
  <c r="A3882" i="1"/>
  <c r="D3882" i="1"/>
  <c r="A3883" i="1"/>
  <c r="D3883" i="1"/>
  <c r="A3884" i="1"/>
  <c r="D3884" i="1"/>
  <c r="A3885" i="1"/>
  <c r="D3885" i="1"/>
  <c r="A3886" i="1"/>
  <c r="D3886" i="1"/>
  <c r="A3887" i="1"/>
  <c r="D3887" i="1"/>
  <c r="A3888" i="1"/>
  <c r="D3888" i="1"/>
  <c r="A3889" i="1"/>
  <c r="D3889" i="1"/>
  <c r="A3890" i="1"/>
  <c r="D3890" i="1"/>
  <c r="A3891" i="1"/>
  <c r="D3891" i="1"/>
  <c r="A3892" i="1"/>
  <c r="D3892" i="1"/>
  <c r="A3893" i="1"/>
  <c r="D3893" i="1"/>
  <c r="A3894" i="1"/>
  <c r="D3894" i="1"/>
  <c r="A3895" i="1"/>
  <c r="D3895" i="1"/>
  <c r="A3896" i="1"/>
  <c r="D3896" i="1"/>
  <c r="A3897" i="1"/>
  <c r="D3897" i="1"/>
  <c r="A3898" i="1"/>
  <c r="D3898" i="1"/>
  <c r="A3899" i="1"/>
  <c r="D3899" i="1"/>
  <c r="A3900" i="1"/>
  <c r="D3900" i="1"/>
  <c r="A3901" i="1"/>
  <c r="D3901" i="1"/>
  <c r="A3902" i="1"/>
  <c r="D3902" i="1"/>
  <c r="A3903" i="1"/>
  <c r="D3903" i="1"/>
  <c r="A3904" i="1"/>
  <c r="D3904" i="1"/>
  <c r="A3905" i="1"/>
  <c r="D3905" i="1"/>
  <c r="A3906" i="1"/>
  <c r="D3906" i="1"/>
  <c r="A3907" i="1"/>
  <c r="D3907" i="1"/>
  <c r="A3908" i="1"/>
  <c r="D3908" i="1"/>
  <c r="A3909" i="1"/>
  <c r="D3909" i="1"/>
  <c r="A3910" i="1"/>
  <c r="D3910" i="1"/>
  <c r="A3911" i="1"/>
  <c r="D3911" i="1"/>
  <c r="A3912" i="1"/>
  <c r="D3912" i="1"/>
  <c r="A3913" i="1"/>
  <c r="D3913" i="1"/>
  <c r="A3914" i="1"/>
  <c r="D3914" i="1"/>
  <c r="A3915" i="1"/>
  <c r="D3915" i="1"/>
  <c r="A3916" i="1"/>
  <c r="D3916" i="1"/>
  <c r="A3917" i="1"/>
  <c r="D3917" i="1"/>
  <c r="A3918" i="1"/>
  <c r="D3918" i="1"/>
  <c r="A3919" i="1"/>
  <c r="D3919" i="1"/>
  <c r="A3920" i="1"/>
  <c r="D3920" i="1"/>
  <c r="A3921" i="1"/>
  <c r="D3921" i="1"/>
  <c r="A3922" i="1"/>
  <c r="D3922" i="1"/>
  <c r="A3923" i="1"/>
  <c r="D3923" i="1"/>
  <c r="A3924" i="1"/>
  <c r="D3924" i="1"/>
  <c r="A3925" i="1"/>
  <c r="D3925" i="1"/>
  <c r="A3926" i="1"/>
  <c r="D3926" i="1"/>
  <c r="A3927" i="1"/>
  <c r="D3927" i="1"/>
  <c r="A3928" i="1"/>
  <c r="D3928" i="1"/>
  <c r="A3929" i="1"/>
  <c r="D3929" i="1"/>
  <c r="A3930" i="1"/>
  <c r="D3930" i="1"/>
  <c r="A3931" i="1"/>
  <c r="D3931" i="1"/>
  <c r="A3932" i="1"/>
  <c r="D3932" i="1"/>
  <c r="A3933" i="1"/>
  <c r="D3933" i="1"/>
  <c r="A3934" i="1"/>
  <c r="D3934" i="1"/>
  <c r="A3935" i="1"/>
  <c r="D3935" i="1"/>
  <c r="A3936" i="1"/>
  <c r="D3936" i="1"/>
  <c r="A3937" i="1"/>
  <c r="D3937" i="1"/>
  <c r="A3938" i="1"/>
  <c r="D3938" i="1"/>
  <c r="A3939" i="1"/>
  <c r="D3939" i="1"/>
  <c r="A3940" i="1"/>
  <c r="D3940" i="1"/>
  <c r="A3941" i="1"/>
  <c r="D3941" i="1"/>
  <c r="A3942" i="1"/>
  <c r="D3942" i="1"/>
  <c r="A3943" i="1"/>
  <c r="D3943" i="1"/>
  <c r="A3944" i="1"/>
  <c r="D3944" i="1"/>
  <c r="A3945" i="1"/>
  <c r="D3945" i="1"/>
  <c r="A3946" i="1"/>
  <c r="D3946" i="1"/>
  <c r="A3947" i="1"/>
  <c r="D3947" i="1"/>
  <c r="A3948" i="1"/>
  <c r="D3948" i="1"/>
  <c r="A3949" i="1"/>
  <c r="D3949" i="1"/>
  <c r="A3950" i="1"/>
  <c r="D3950" i="1"/>
  <c r="A3951" i="1"/>
  <c r="D3951" i="1"/>
  <c r="A3952" i="1"/>
  <c r="D3952" i="1"/>
  <c r="A3953" i="1"/>
  <c r="D3953" i="1"/>
  <c r="A3954" i="1"/>
  <c r="D3954" i="1"/>
  <c r="A3955" i="1"/>
  <c r="D3955" i="1"/>
  <c r="A3956" i="1"/>
  <c r="D3956" i="1"/>
  <c r="A3957" i="1"/>
  <c r="D3957" i="1"/>
  <c r="A3958" i="1"/>
  <c r="D3958" i="1"/>
  <c r="A3959" i="1"/>
  <c r="D3959" i="1"/>
  <c r="A3960" i="1"/>
  <c r="D3960" i="1"/>
  <c r="A3961" i="1"/>
  <c r="D3961" i="1"/>
  <c r="A3962" i="1"/>
  <c r="D3962" i="1"/>
  <c r="A3963" i="1"/>
  <c r="D3963" i="1"/>
  <c r="A3964" i="1"/>
  <c r="D3964" i="1"/>
  <c r="A3965" i="1"/>
  <c r="D3965" i="1"/>
  <c r="A3966" i="1"/>
  <c r="D3966" i="1"/>
  <c r="A3967" i="1"/>
  <c r="D3967" i="1"/>
  <c r="A3968" i="1"/>
  <c r="D3968" i="1"/>
  <c r="A3969" i="1"/>
  <c r="D3969" i="1"/>
  <c r="A3970" i="1"/>
  <c r="D3970" i="1"/>
  <c r="A3971" i="1"/>
  <c r="D3971" i="1"/>
  <c r="A3972" i="1"/>
  <c r="D3972" i="1"/>
  <c r="A3973" i="1"/>
  <c r="D3973" i="1"/>
  <c r="A3974" i="1"/>
  <c r="D3974" i="1"/>
  <c r="A3975" i="1"/>
  <c r="D3975" i="1"/>
  <c r="A3976" i="1"/>
  <c r="D3976" i="1"/>
  <c r="A3977" i="1"/>
  <c r="D3977" i="1"/>
  <c r="A3978" i="1"/>
  <c r="D3978" i="1"/>
  <c r="A3979" i="1"/>
  <c r="D3979" i="1"/>
  <c r="A3980" i="1"/>
  <c r="D3980" i="1"/>
  <c r="A3981" i="1"/>
  <c r="D3981" i="1"/>
  <c r="A3982" i="1"/>
  <c r="D3982" i="1"/>
  <c r="A3983" i="1"/>
  <c r="D3983" i="1"/>
  <c r="A3984" i="1"/>
  <c r="D3984" i="1"/>
  <c r="A3985" i="1"/>
  <c r="D3985" i="1"/>
  <c r="A3986" i="1"/>
  <c r="D3986" i="1"/>
  <c r="A3987" i="1"/>
  <c r="D3987" i="1"/>
  <c r="A3988" i="1"/>
  <c r="D3988" i="1"/>
  <c r="A3989" i="1"/>
  <c r="D3989" i="1"/>
  <c r="A3990" i="1"/>
  <c r="D3990" i="1"/>
  <c r="A3991" i="1"/>
  <c r="D3991" i="1"/>
  <c r="A3992" i="1"/>
  <c r="D3992" i="1"/>
  <c r="A3993" i="1"/>
  <c r="D3993" i="1"/>
  <c r="A3994" i="1"/>
  <c r="D3994" i="1"/>
  <c r="A3995" i="1"/>
  <c r="D3995" i="1"/>
  <c r="A3996" i="1"/>
  <c r="D3996" i="1"/>
  <c r="A3997" i="1"/>
  <c r="D3997" i="1"/>
  <c r="A3998" i="1"/>
  <c r="D3998" i="1"/>
  <c r="A3999" i="1"/>
  <c r="D3999" i="1"/>
  <c r="A4000" i="1"/>
  <c r="D4000" i="1"/>
  <c r="A4001" i="1"/>
  <c r="D4001" i="1"/>
  <c r="A4002" i="1"/>
  <c r="D4002" i="1"/>
  <c r="A4003" i="1"/>
  <c r="D4003" i="1"/>
  <c r="A4004" i="1"/>
  <c r="D4004" i="1"/>
  <c r="A4005" i="1"/>
  <c r="D4005" i="1"/>
  <c r="A4006" i="1"/>
  <c r="D4006" i="1"/>
  <c r="A4007" i="1"/>
  <c r="D4007" i="1"/>
  <c r="A4008" i="1"/>
  <c r="D4008" i="1"/>
  <c r="A4009" i="1"/>
  <c r="D4009" i="1"/>
  <c r="A4010" i="1"/>
  <c r="D4010" i="1"/>
  <c r="A4011" i="1"/>
  <c r="D4011" i="1"/>
  <c r="A4012" i="1"/>
  <c r="D4012" i="1"/>
  <c r="A4013" i="1"/>
  <c r="D4013" i="1"/>
  <c r="A4014" i="1"/>
  <c r="D4014" i="1"/>
  <c r="A4015" i="1"/>
  <c r="D4015" i="1"/>
  <c r="A4016" i="1"/>
  <c r="D4016" i="1"/>
  <c r="A4017" i="1"/>
  <c r="D4017" i="1"/>
  <c r="A4018" i="1"/>
  <c r="D4018" i="1"/>
  <c r="A4019" i="1"/>
  <c r="D4019" i="1"/>
  <c r="A4020" i="1"/>
  <c r="D4020" i="1"/>
  <c r="A4021" i="1"/>
  <c r="D4021" i="1"/>
  <c r="A4022" i="1"/>
  <c r="D4022" i="1"/>
  <c r="A4023" i="1"/>
  <c r="D4023" i="1"/>
  <c r="A4024" i="1"/>
  <c r="D4024" i="1"/>
  <c r="A4025" i="1"/>
  <c r="D4025" i="1"/>
  <c r="A4026" i="1"/>
  <c r="D4026" i="1"/>
  <c r="A4027" i="1"/>
  <c r="D4027" i="1"/>
  <c r="A4028" i="1"/>
  <c r="D4028" i="1"/>
  <c r="A4029" i="1"/>
  <c r="D4029" i="1"/>
  <c r="A4030" i="1"/>
  <c r="D4030" i="1"/>
  <c r="A4031" i="1"/>
  <c r="D4031" i="1"/>
  <c r="A4032" i="1"/>
  <c r="D4032" i="1"/>
  <c r="A4033" i="1"/>
  <c r="D4033" i="1"/>
  <c r="A4034" i="1"/>
  <c r="D4034" i="1"/>
  <c r="A4035" i="1"/>
  <c r="D4035" i="1"/>
  <c r="A4036" i="1"/>
  <c r="D4036" i="1"/>
  <c r="A4037" i="1"/>
  <c r="D4037" i="1"/>
  <c r="A4038" i="1"/>
  <c r="D4038" i="1"/>
  <c r="A4039" i="1"/>
  <c r="D4039" i="1"/>
  <c r="A4040" i="1"/>
  <c r="D4040" i="1"/>
  <c r="A4041" i="1"/>
  <c r="D4041" i="1"/>
  <c r="A4042" i="1"/>
  <c r="D4042" i="1"/>
  <c r="A4043" i="1"/>
  <c r="D4043" i="1"/>
  <c r="A4044" i="1"/>
  <c r="D4044" i="1"/>
  <c r="A4045" i="1"/>
  <c r="D4045" i="1"/>
  <c r="A4046" i="1"/>
  <c r="D4046" i="1"/>
  <c r="A4047" i="1"/>
  <c r="D4047" i="1"/>
  <c r="A4048" i="1"/>
  <c r="D4048" i="1"/>
  <c r="A4049" i="1"/>
  <c r="D4049" i="1"/>
  <c r="A4050" i="1"/>
  <c r="D4050" i="1"/>
  <c r="A4051" i="1"/>
  <c r="D4051" i="1"/>
  <c r="A4052" i="1"/>
  <c r="D4052" i="1"/>
  <c r="A4053" i="1"/>
  <c r="D4053" i="1"/>
  <c r="A4054" i="1"/>
  <c r="D4054" i="1"/>
  <c r="A4055" i="1"/>
  <c r="D4055" i="1"/>
  <c r="A4056" i="1"/>
  <c r="D4056" i="1"/>
  <c r="A4057" i="1"/>
  <c r="D4057" i="1"/>
  <c r="A4058" i="1"/>
  <c r="D4058" i="1"/>
  <c r="A4059" i="1"/>
  <c r="D4059" i="1"/>
  <c r="A4060" i="1"/>
  <c r="D4060" i="1"/>
  <c r="A4061" i="1"/>
  <c r="D4061" i="1"/>
  <c r="A4062" i="1"/>
  <c r="D4062" i="1"/>
  <c r="A4063" i="1"/>
  <c r="D4063" i="1"/>
  <c r="A4064" i="1"/>
  <c r="D4064" i="1"/>
  <c r="A4065" i="1"/>
  <c r="D4065" i="1"/>
  <c r="A4066" i="1"/>
  <c r="D4066" i="1"/>
  <c r="A4067" i="1"/>
  <c r="D4067" i="1"/>
  <c r="A4068" i="1"/>
  <c r="D4068" i="1"/>
  <c r="A4069" i="1"/>
  <c r="D4069" i="1"/>
  <c r="A4070" i="1"/>
  <c r="D4070" i="1"/>
  <c r="A4071" i="1"/>
  <c r="D4071" i="1"/>
  <c r="A4072" i="1"/>
  <c r="D4072" i="1"/>
  <c r="A4073" i="1"/>
  <c r="D4073" i="1"/>
  <c r="A4074" i="1"/>
  <c r="D4074" i="1"/>
  <c r="A4075" i="1"/>
  <c r="D4075" i="1"/>
  <c r="A4076" i="1"/>
  <c r="D4076" i="1"/>
  <c r="A4077" i="1"/>
  <c r="D4077" i="1"/>
  <c r="A4078" i="1"/>
  <c r="D4078" i="1"/>
  <c r="A4079" i="1"/>
  <c r="D4079" i="1"/>
  <c r="A4080" i="1"/>
  <c r="D4080" i="1"/>
  <c r="A4081" i="1"/>
  <c r="D4081" i="1"/>
  <c r="A4082" i="1"/>
  <c r="D4082" i="1"/>
  <c r="A4083" i="1"/>
  <c r="D4083" i="1"/>
  <c r="A4084" i="1"/>
  <c r="D4084" i="1"/>
  <c r="A4085" i="1"/>
  <c r="D4085" i="1"/>
  <c r="A4086" i="1"/>
  <c r="D4086" i="1"/>
  <c r="A4087" i="1"/>
  <c r="D4087" i="1"/>
  <c r="A4088" i="1"/>
  <c r="D4088" i="1"/>
  <c r="A4089" i="1"/>
  <c r="D4089" i="1"/>
  <c r="A4090" i="1"/>
  <c r="D4090" i="1"/>
  <c r="A4091" i="1"/>
  <c r="D4091" i="1"/>
  <c r="A4092" i="1"/>
  <c r="D4092" i="1"/>
  <c r="A4093" i="1"/>
  <c r="D4093" i="1"/>
  <c r="A4094" i="1"/>
  <c r="D4094" i="1"/>
  <c r="A4095" i="1"/>
  <c r="D4095" i="1"/>
  <c r="A4096" i="1"/>
  <c r="D4096" i="1"/>
  <c r="A4097" i="1"/>
  <c r="D4097" i="1"/>
  <c r="A4098" i="1"/>
  <c r="D4098" i="1"/>
  <c r="A4099" i="1"/>
  <c r="D4099" i="1"/>
  <c r="A4100" i="1"/>
  <c r="D4100" i="1"/>
  <c r="A4101" i="1"/>
  <c r="D4101" i="1"/>
  <c r="A4102" i="1"/>
  <c r="D4102" i="1"/>
  <c r="A4103" i="1"/>
  <c r="D4103" i="1"/>
  <c r="A4104" i="1"/>
  <c r="D4104" i="1"/>
  <c r="A4105" i="1"/>
  <c r="D4105" i="1"/>
  <c r="A4106" i="1"/>
  <c r="D4106" i="1"/>
  <c r="A4107" i="1"/>
  <c r="D4107" i="1"/>
  <c r="A4108" i="1"/>
  <c r="D4108" i="1"/>
  <c r="A4109" i="1"/>
  <c r="D4109" i="1"/>
  <c r="A4110" i="1"/>
  <c r="D4110" i="1"/>
  <c r="A4111" i="1"/>
  <c r="D4111" i="1"/>
  <c r="A4112" i="1"/>
  <c r="D4112" i="1"/>
  <c r="A4113" i="1"/>
  <c r="D4113" i="1"/>
  <c r="A4114" i="1"/>
  <c r="D4114" i="1"/>
  <c r="A4115" i="1"/>
  <c r="D4115" i="1"/>
  <c r="A4116" i="1"/>
  <c r="D4116" i="1"/>
  <c r="A4117" i="1"/>
  <c r="D4117" i="1"/>
  <c r="A4118" i="1"/>
  <c r="D4118" i="1"/>
  <c r="A4119" i="1"/>
  <c r="D4119" i="1"/>
  <c r="A4120" i="1"/>
  <c r="D4120" i="1"/>
  <c r="A4121" i="1"/>
  <c r="D4121" i="1"/>
  <c r="A4122" i="1"/>
  <c r="D4122" i="1"/>
  <c r="A4123" i="1"/>
  <c r="D4123" i="1"/>
  <c r="A4124" i="1"/>
  <c r="D4124" i="1"/>
  <c r="A4125" i="1"/>
  <c r="D4125" i="1"/>
  <c r="A4126" i="1"/>
  <c r="D4126" i="1"/>
  <c r="A4127" i="1"/>
  <c r="D4127" i="1"/>
  <c r="A4128" i="1"/>
  <c r="D4128" i="1"/>
  <c r="A4129" i="1"/>
  <c r="D4129" i="1"/>
  <c r="A4130" i="1"/>
  <c r="D4130" i="1"/>
  <c r="A4131" i="1"/>
  <c r="D4131" i="1"/>
  <c r="A4132" i="1"/>
  <c r="D4132" i="1"/>
  <c r="A4133" i="1"/>
  <c r="D4133" i="1"/>
  <c r="A4134" i="1"/>
  <c r="D4134" i="1"/>
  <c r="A4135" i="1"/>
  <c r="D4135" i="1"/>
  <c r="A4136" i="1"/>
  <c r="D4136" i="1"/>
  <c r="A4137" i="1"/>
  <c r="D4137" i="1"/>
  <c r="A4138" i="1"/>
  <c r="D4138" i="1"/>
  <c r="A4139" i="1"/>
  <c r="D4139" i="1"/>
  <c r="A4140" i="1"/>
  <c r="D4140" i="1"/>
  <c r="A4141" i="1"/>
  <c r="D4141" i="1"/>
  <c r="A4142" i="1"/>
  <c r="D4142" i="1"/>
  <c r="A4143" i="1"/>
  <c r="D4143" i="1"/>
  <c r="A4144" i="1"/>
  <c r="D4144" i="1"/>
  <c r="A4145" i="1"/>
  <c r="D4145" i="1"/>
  <c r="A4146" i="1"/>
  <c r="D4146" i="1"/>
  <c r="A4147" i="1"/>
  <c r="D4147" i="1"/>
  <c r="A4148" i="1"/>
  <c r="D4148" i="1"/>
  <c r="A4149" i="1"/>
  <c r="D4149" i="1"/>
  <c r="A4150" i="1"/>
  <c r="D4150" i="1"/>
  <c r="A4151" i="1"/>
  <c r="D4151" i="1"/>
  <c r="A4152" i="1"/>
  <c r="D4152" i="1"/>
  <c r="A4153" i="1"/>
  <c r="D4153" i="1"/>
  <c r="A4154" i="1"/>
  <c r="D4154" i="1"/>
  <c r="A4155" i="1"/>
  <c r="D4155" i="1"/>
  <c r="A4156" i="1"/>
  <c r="D4156" i="1"/>
  <c r="A4157" i="1"/>
  <c r="D4157" i="1"/>
  <c r="A4158" i="1"/>
  <c r="D4158" i="1"/>
  <c r="A4159" i="1"/>
  <c r="D4159" i="1"/>
  <c r="A4160" i="1"/>
  <c r="D4160" i="1"/>
  <c r="A4161" i="1"/>
  <c r="D4161" i="1"/>
  <c r="A4162" i="1"/>
  <c r="D4162" i="1"/>
  <c r="A4163" i="1"/>
  <c r="D4163" i="1"/>
  <c r="A4164" i="1"/>
  <c r="D4164" i="1"/>
  <c r="A4165" i="1"/>
  <c r="D4165" i="1"/>
  <c r="A4166" i="1"/>
  <c r="D4166" i="1"/>
  <c r="A4167" i="1"/>
  <c r="D4167" i="1"/>
  <c r="A4168" i="1"/>
  <c r="D4168" i="1"/>
  <c r="A4169" i="1"/>
  <c r="D4169" i="1"/>
  <c r="A4170" i="1"/>
  <c r="D4170" i="1"/>
  <c r="A4171" i="1"/>
  <c r="D4171" i="1"/>
  <c r="A4172" i="1"/>
  <c r="D4172" i="1"/>
  <c r="A4173" i="1"/>
  <c r="D4173" i="1"/>
  <c r="A4174" i="1"/>
  <c r="D4174" i="1"/>
  <c r="A4175" i="1"/>
  <c r="D4175" i="1"/>
  <c r="A4176" i="1"/>
  <c r="D4176" i="1"/>
  <c r="A4177" i="1"/>
  <c r="D4177" i="1"/>
  <c r="A4178" i="1"/>
  <c r="D4178" i="1"/>
  <c r="A4179" i="1"/>
  <c r="D4179" i="1"/>
  <c r="A4180" i="1"/>
  <c r="D4180" i="1"/>
  <c r="A4181" i="1"/>
  <c r="D4181" i="1"/>
  <c r="A4182" i="1"/>
  <c r="D4182" i="1"/>
  <c r="A4183" i="1"/>
  <c r="D4183" i="1"/>
  <c r="A4184" i="1"/>
  <c r="D4184" i="1"/>
  <c r="A4185" i="1"/>
  <c r="D4185" i="1"/>
  <c r="A4186" i="1"/>
  <c r="D4186" i="1"/>
  <c r="A4187" i="1"/>
  <c r="D4187" i="1"/>
  <c r="A4188" i="1"/>
  <c r="D4188" i="1"/>
  <c r="A4189" i="1"/>
  <c r="D4189" i="1"/>
  <c r="A4190" i="1"/>
  <c r="D4190" i="1"/>
  <c r="A4191" i="1"/>
  <c r="D4191" i="1"/>
  <c r="A4192" i="1"/>
  <c r="D4192" i="1"/>
  <c r="A4193" i="1"/>
  <c r="D4193" i="1"/>
  <c r="A4194" i="1"/>
  <c r="D4194" i="1"/>
  <c r="A4195" i="1"/>
  <c r="D4195" i="1"/>
  <c r="A4196" i="1"/>
  <c r="D4196" i="1"/>
  <c r="A4197" i="1"/>
  <c r="D4197" i="1"/>
  <c r="A4198" i="1"/>
  <c r="D4198" i="1"/>
  <c r="A4199" i="1"/>
  <c r="D4199" i="1"/>
  <c r="A4200" i="1"/>
  <c r="D4200" i="1"/>
  <c r="A4201" i="1"/>
  <c r="D4201" i="1"/>
  <c r="A4202" i="1"/>
  <c r="D4202" i="1"/>
  <c r="A4203" i="1"/>
  <c r="D4203" i="1"/>
  <c r="A4204" i="1"/>
  <c r="D4204" i="1"/>
  <c r="A4205" i="1"/>
  <c r="D4205" i="1"/>
  <c r="A4206" i="1"/>
  <c r="D4206" i="1"/>
  <c r="A4207" i="1"/>
  <c r="D4207" i="1"/>
  <c r="A4208" i="1"/>
  <c r="D4208" i="1"/>
  <c r="A4209" i="1"/>
  <c r="D4209" i="1"/>
  <c r="A4210" i="1"/>
  <c r="D4210" i="1"/>
  <c r="A4211" i="1"/>
  <c r="D4211" i="1"/>
  <c r="A4212" i="1"/>
  <c r="D4212" i="1"/>
  <c r="A4213" i="1"/>
  <c r="D4213" i="1"/>
  <c r="A4214" i="1"/>
  <c r="D4214" i="1"/>
  <c r="A4215" i="1"/>
  <c r="D4215" i="1"/>
  <c r="A4216" i="1"/>
  <c r="D4216" i="1"/>
  <c r="A4217" i="1"/>
  <c r="D4217" i="1"/>
  <c r="A4218" i="1"/>
  <c r="D4218" i="1"/>
  <c r="A4219" i="1"/>
  <c r="D4219" i="1"/>
  <c r="A4220" i="1"/>
  <c r="D4220" i="1"/>
  <c r="A4221" i="1"/>
  <c r="D4221" i="1"/>
  <c r="A4222" i="1"/>
  <c r="D4222" i="1"/>
  <c r="A4223" i="1"/>
  <c r="D4223" i="1"/>
  <c r="A4224" i="1"/>
  <c r="D4224" i="1"/>
  <c r="A4225" i="1"/>
  <c r="D4225" i="1"/>
  <c r="A4226" i="1"/>
  <c r="D4226" i="1"/>
  <c r="A4227" i="1"/>
  <c r="D4227" i="1"/>
  <c r="A4228" i="1"/>
  <c r="D4228" i="1"/>
  <c r="A4229" i="1"/>
  <c r="D4229" i="1"/>
  <c r="A4230" i="1"/>
  <c r="D4230" i="1"/>
  <c r="A4231" i="1"/>
  <c r="D4231" i="1"/>
  <c r="A4232" i="1"/>
  <c r="D4232" i="1"/>
  <c r="A4233" i="1"/>
  <c r="D4233" i="1"/>
  <c r="A4234" i="1"/>
  <c r="D4234" i="1"/>
  <c r="A4235" i="1"/>
  <c r="D4235" i="1"/>
  <c r="A4236" i="1"/>
  <c r="D4236" i="1"/>
  <c r="A4237" i="1"/>
  <c r="D4237" i="1"/>
  <c r="A4238" i="1"/>
  <c r="D4238" i="1"/>
  <c r="A4239" i="1"/>
  <c r="D4239" i="1"/>
  <c r="A4240" i="1"/>
  <c r="D4240" i="1"/>
  <c r="A4241" i="1"/>
  <c r="D4241" i="1"/>
  <c r="A4242" i="1"/>
  <c r="D4242" i="1"/>
  <c r="A4243" i="1"/>
  <c r="D4243" i="1"/>
  <c r="A4244" i="1"/>
  <c r="D4244" i="1"/>
  <c r="A4245" i="1"/>
  <c r="D4245" i="1"/>
  <c r="A4246" i="1"/>
  <c r="D4246" i="1"/>
  <c r="A4247" i="1"/>
  <c r="D4247" i="1"/>
  <c r="A4248" i="1"/>
  <c r="D4248" i="1"/>
  <c r="A4249" i="1"/>
  <c r="D4249" i="1"/>
  <c r="A4250" i="1"/>
  <c r="D4250" i="1"/>
  <c r="A4251" i="1"/>
  <c r="D4251" i="1"/>
  <c r="A4252" i="1"/>
  <c r="D4252" i="1"/>
  <c r="A4253" i="1"/>
  <c r="D4253" i="1"/>
  <c r="A4254" i="1"/>
  <c r="D4254" i="1"/>
  <c r="A4255" i="1"/>
  <c r="D4255" i="1"/>
  <c r="A4256" i="1"/>
  <c r="D4256" i="1"/>
  <c r="A4257" i="1"/>
  <c r="D4257" i="1"/>
  <c r="A4258" i="1"/>
  <c r="D4258" i="1"/>
  <c r="A4259" i="1"/>
  <c r="D4259" i="1"/>
  <c r="A4260" i="1"/>
  <c r="D4260" i="1"/>
  <c r="A4261" i="1"/>
  <c r="D4261" i="1"/>
  <c r="A4262" i="1"/>
  <c r="D4262" i="1"/>
  <c r="A4263" i="1"/>
  <c r="D4263" i="1"/>
  <c r="A4264" i="1"/>
  <c r="D4264" i="1"/>
  <c r="A4265" i="1"/>
  <c r="D4265" i="1"/>
  <c r="A4266" i="1"/>
  <c r="D4266" i="1"/>
  <c r="A4267" i="1"/>
  <c r="D4267" i="1"/>
  <c r="A4268" i="1"/>
  <c r="D4268" i="1"/>
  <c r="A4269" i="1"/>
  <c r="D4269" i="1"/>
  <c r="A4270" i="1"/>
  <c r="D4270" i="1"/>
  <c r="A4271" i="1"/>
  <c r="D4271" i="1"/>
  <c r="A4272" i="1"/>
  <c r="D4272" i="1"/>
  <c r="A4273" i="1"/>
  <c r="D4273" i="1"/>
  <c r="A4274" i="1"/>
  <c r="D4274" i="1"/>
  <c r="A4275" i="1"/>
  <c r="D4275" i="1"/>
  <c r="A4276" i="1"/>
  <c r="D4276" i="1"/>
  <c r="A4277" i="1"/>
  <c r="D4277" i="1"/>
  <c r="A4278" i="1"/>
  <c r="D4278" i="1"/>
  <c r="A4279" i="1"/>
  <c r="D4279" i="1"/>
  <c r="A4280" i="1"/>
  <c r="D4280" i="1"/>
  <c r="A4281" i="1"/>
  <c r="D4281" i="1"/>
  <c r="A4282" i="1"/>
  <c r="D4282" i="1"/>
  <c r="A4283" i="1"/>
  <c r="D4283" i="1"/>
  <c r="A4284" i="1"/>
  <c r="D4284" i="1"/>
  <c r="A4285" i="1"/>
  <c r="D4285" i="1"/>
  <c r="A4286" i="1"/>
  <c r="D4286" i="1"/>
  <c r="A4287" i="1"/>
  <c r="D4287" i="1"/>
  <c r="A4288" i="1"/>
  <c r="D4288" i="1"/>
  <c r="A4289" i="1"/>
  <c r="D4289" i="1"/>
  <c r="A4290" i="1"/>
  <c r="D4290" i="1"/>
  <c r="A4291" i="1"/>
  <c r="D4291" i="1"/>
  <c r="A4292" i="1"/>
  <c r="D4292" i="1"/>
  <c r="A4293" i="1"/>
  <c r="D4293" i="1"/>
  <c r="A4294" i="1"/>
  <c r="D4294" i="1"/>
  <c r="A4295" i="1"/>
  <c r="D4295" i="1"/>
  <c r="A4296" i="1"/>
  <c r="D4296" i="1"/>
  <c r="A4297" i="1"/>
  <c r="D4297" i="1"/>
  <c r="A4298" i="1"/>
  <c r="D4298" i="1"/>
  <c r="A4299" i="1"/>
  <c r="D4299" i="1"/>
  <c r="A4300" i="1"/>
  <c r="D4300" i="1"/>
  <c r="A4301" i="1"/>
  <c r="D4301" i="1"/>
  <c r="A4302" i="1"/>
  <c r="D4302" i="1"/>
  <c r="A4303" i="1"/>
  <c r="D4303" i="1"/>
  <c r="A4304" i="1"/>
  <c r="D4304" i="1"/>
  <c r="A4305" i="1"/>
  <c r="D4305" i="1"/>
  <c r="A4306" i="1"/>
  <c r="D4306" i="1"/>
  <c r="A4307" i="1"/>
  <c r="D4307" i="1"/>
  <c r="A4308" i="1"/>
  <c r="D4308" i="1"/>
  <c r="A4309" i="1"/>
  <c r="D4309" i="1"/>
  <c r="A4310" i="1"/>
  <c r="D4310" i="1"/>
  <c r="A4311" i="1"/>
  <c r="D4311" i="1"/>
  <c r="A4312" i="1"/>
  <c r="D4312" i="1"/>
  <c r="A4313" i="1"/>
  <c r="D4313" i="1"/>
  <c r="A4314" i="1"/>
  <c r="D4314" i="1"/>
  <c r="A4315" i="1"/>
  <c r="D4315" i="1"/>
  <c r="A4316" i="1"/>
  <c r="D4316" i="1"/>
  <c r="A4317" i="1"/>
  <c r="D4317" i="1"/>
  <c r="A4318" i="1"/>
  <c r="D4318" i="1"/>
  <c r="A4319" i="1"/>
  <c r="D4319" i="1"/>
  <c r="A4320" i="1"/>
  <c r="D4320" i="1"/>
  <c r="A4321" i="1"/>
  <c r="D4321" i="1"/>
  <c r="A4322" i="1"/>
  <c r="D4322" i="1"/>
  <c r="A4323" i="1"/>
  <c r="D4323" i="1"/>
  <c r="A4324" i="1"/>
  <c r="D4324" i="1"/>
  <c r="A4325" i="1"/>
  <c r="D4325" i="1"/>
  <c r="A4326" i="1"/>
  <c r="D4326" i="1"/>
  <c r="A4327" i="1"/>
  <c r="D4327" i="1"/>
  <c r="A4328" i="1"/>
  <c r="D4328" i="1"/>
  <c r="A4329" i="1"/>
  <c r="D4329" i="1"/>
  <c r="A4330" i="1"/>
  <c r="D4330" i="1"/>
  <c r="A4331" i="1"/>
  <c r="D4331" i="1"/>
  <c r="A4332" i="1"/>
  <c r="D4332" i="1"/>
  <c r="A4333" i="1"/>
  <c r="D4333" i="1"/>
  <c r="A4334" i="1"/>
  <c r="D4334" i="1"/>
  <c r="A4335" i="1"/>
  <c r="D4335" i="1"/>
  <c r="A4336" i="1"/>
  <c r="D4336" i="1"/>
  <c r="A4337" i="1"/>
  <c r="D4337" i="1"/>
  <c r="A4338" i="1"/>
  <c r="D4338" i="1"/>
  <c r="A4339" i="1"/>
  <c r="D4339" i="1"/>
  <c r="A4340" i="1"/>
  <c r="D4340" i="1"/>
  <c r="A4341" i="1"/>
  <c r="D4341" i="1"/>
  <c r="A4342" i="1"/>
  <c r="D4342" i="1"/>
  <c r="A4343" i="1"/>
  <c r="D4343" i="1"/>
  <c r="A4344" i="1"/>
  <c r="D4344" i="1"/>
  <c r="A4345" i="1"/>
  <c r="D4345" i="1"/>
  <c r="A4346" i="1"/>
  <c r="D4346" i="1"/>
  <c r="A4347" i="1"/>
  <c r="D4347" i="1"/>
  <c r="A4348" i="1"/>
  <c r="D4348" i="1"/>
  <c r="A4349" i="1"/>
  <c r="D4349" i="1"/>
  <c r="A4350" i="1"/>
  <c r="D4350" i="1"/>
  <c r="A4351" i="1"/>
  <c r="D4351" i="1"/>
  <c r="A4352" i="1"/>
  <c r="D4352" i="1"/>
  <c r="A4353" i="1"/>
  <c r="D4353" i="1"/>
  <c r="A4354" i="1"/>
  <c r="D4354" i="1"/>
  <c r="A4355" i="1"/>
  <c r="D4355" i="1"/>
  <c r="A4356" i="1"/>
  <c r="D4356" i="1"/>
  <c r="A4357" i="1"/>
  <c r="D4357" i="1"/>
  <c r="A4358" i="1"/>
  <c r="D4358" i="1"/>
  <c r="A4359" i="1"/>
  <c r="D4359" i="1"/>
  <c r="A4360" i="1"/>
  <c r="D4360" i="1"/>
  <c r="A4361" i="1"/>
  <c r="D4361" i="1"/>
  <c r="A4362" i="1"/>
  <c r="D4362" i="1"/>
  <c r="A4363" i="1"/>
  <c r="D4363" i="1"/>
  <c r="A4364" i="1"/>
  <c r="D4364" i="1"/>
  <c r="A4365" i="1"/>
  <c r="D4365" i="1"/>
  <c r="A4366" i="1"/>
  <c r="D4366" i="1"/>
  <c r="A4367" i="1"/>
  <c r="D4367" i="1"/>
  <c r="A4368" i="1"/>
  <c r="D4368" i="1"/>
  <c r="A4369" i="1"/>
  <c r="D4369" i="1"/>
  <c r="A4370" i="1"/>
  <c r="D4370" i="1"/>
  <c r="A4371" i="1"/>
  <c r="D4371" i="1"/>
  <c r="A4372" i="1"/>
  <c r="D4372" i="1"/>
  <c r="A4373" i="1"/>
  <c r="D4373" i="1"/>
  <c r="A4374" i="1"/>
  <c r="D4374" i="1"/>
  <c r="A4375" i="1"/>
  <c r="D4375" i="1"/>
  <c r="A4376" i="1"/>
  <c r="D4376" i="1"/>
  <c r="A4377" i="1"/>
  <c r="D4377" i="1"/>
  <c r="A4378" i="1"/>
  <c r="D4378" i="1"/>
  <c r="A4379" i="1"/>
  <c r="D4379" i="1"/>
  <c r="A4380" i="1"/>
  <c r="D4380" i="1"/>
  <c r="A4381" i="1"/>
  <c r="D4381" i="1"/>
  <c r="A4382" i="1"/>
  <c r="D4382" i="1"/>
  <c r="A4383" i="1"/>
  <c r="D4383" i="1"/>
  <c r="A4384" i="1"/>
  <c r="D4384" i="1"/>
  <c r="A4385" i="1"/>
  <c r="D4385" i="1"/>
  <c r="A4386" i="1"/>
  <c r="D4386" i="1"/>
  <c r="A4387" i="1"/>
  <c r="D4387" i="1"/>
  <c r="A4388" i="1"/>
  <c r="D4388" i="1"/>
  <c r="A4389" i="1"/>
  <c r="D4389" i="1"/>
  <c r="A4390" i="1"/>
  <c r="D4390" i="1"/>
  <c r="A4391" i="1"/>
  <c r="D4391" i="1"/>
  <c r="A4392" i="1"/>
  <c r="D4392" i="1"/>
  <c r="A4393" i="1"/>
  <c r="D4393" i="1"/>
  <c r="A4394" i="1"/>
  <c r="D4394" i="1"/>
  <c r="A4395" i="1"/>
  <c r="D4395" i="1"/>
  <c r="A4396" i="1"/>
  <c r="D4396" i="1"/>
  <c r="A4397" i="1"/>
  <c r="D4397" i="1"/>
  <c r="A4398" i="1"/>
  <c r="D4398" i="1"/>
  <c r="A4399" i="1"/>
  <c r="D4399" i="1"/>
  <c r="A4400" i="1"/>
  <c r="D4400" i="1"/>
  <c r="A4401" i="1"/>
  <c r="D4401" i="1"/>
  <c r="A4402" i="1"/>
  <c r="D4402" i="1"/>
  <c r="A4403" i="1"/>
  <c r="D4403" i="1"/>
  <c r="A4404" i="1"/>
  <c r="D4404" i="1"/>
  <c r="A4405" i="1"/>
  <c r="D4405" i="1"/>
  <c r="A4406" i="1"/>
  <c r="D4406" i="1"/>
  <c r="A4407" i="1"/>
  <c r="D4407" i="1"/>
  <c r="A4408" i="1"/>
  <c r="D4408" i="1"/>
  <c r="A4409" i="1"/>
  <c r="D4409" i="1"/>
  <c r="A4410" i="1"/>
  <c r="D4410" i="1"/>
  <c r="A4411" i="1"/>
  <c r="D4411" i="1"/>
  <c r="A4412" i="1"/>
  <c r="D4412" i="1"/>
  <c r="A4413" i="1"/>
  <c r="D4413" i="1"/>
  <c r="A4414" i="1"/>
  <c r="D4414" i="1"/>
  <c r="A4415" i="1"/>
  <c r="D4415" i="1"/>
  <c r="A4416" i="1"/>
  <c r="D4416" i="1"/>
  <c r="A4417" i="1"/>
  <c r="D4417" i="1"/>
  <c r="A4418" i="1"/>
  <c r="D4418" i="1"/>
  <c r="A4419" i="1"/>
  <c r="D4419" i="1"/>
  <c r="A4420" i="1"/>
  <c r="D4420" i="1"/>
  <c r="A4421" i="1"/>
  <c r="D4421" i="1"/>
  <c r="A4422" i="1"/>
  <c r="D4422" i="1"/>
  <c r="A4423" i="1"/>
  <c r="D4423" i="1"/>
  <c r="A4424" i="1"/>
  <c r="D4424" i="1"/>
  <c r="A4425" i="1"/>
  <c r="D4425" i="1"/>
  <c r="A4426" i="1"/>
  <c r="D4426" i="1"/>
  <c r="A4427" i="1"/>
  <c r="D4427" i="1"/>
  <c r="A4428" i="1"/>
  <c r="D4428" i="1"/>
  <c r="A4429" i="1"/>
  <c r="D4429" i="1"/>
  <c r="A4430" i="1"/>
  <c r="D4430" i="1"/>
  <c r="A4431" i="1"/>
  <c r="D4431" i="1"/>
  <c r="A4432" i="1"/>
  <c r="D4432" i="1"/>
  <c r="A4433" i="1"/>
  <c r="D4433" i="1"/>
  <c r="A4434" i="1"/>
  <c r="D4434" i="1"/>
  <c r="A4435" i="1"/>
  <c r="D4435" i="1"/>
  <c r="A4436" i="1"/>
  <c r="D4436" i="1"/>
  <c r="A4437" i="1"/>
  <c r="D4437" i="1"/>
  <c r="A4438" i="1"/>
  <c r="D4438" i="1"/>
  <c r="A4439" i="1"/>
  <c r="D4439" i="1"/>
  <c r="A4440" i="1"/>
  <c r="D4440" i="1"/>
  <c r="A4441" i="1"/>
  <c r="D4441" i="1"/>
  <c r="A4442" i="1"/>
  <c r="D4442" i="1"/>
  <c r="A4443" i="1"/>
  <c r="D4443" i="1"/>
  <c r="A4444" i="1"/>
  <c r="D4444" i="1"/>
  <c r="A4445" i="1"/>
  <c r="D4445" i="1"/>
  <c r="A4446" i="1"/>
  <c r="D4446" i="1"/>
  <c r="A4447" i="1"/>
  <c r="D4447" i="1"/>
  <c r="A4448" i="1"/>
  <c r="D4448" i="1"/>
  <c r="A4449" i="1"/>
  <c r="D4449" i="1"/>
  <c r="A4450" i="1"/>
  <c r="D4450" i="1"/>
  <c r="A4451" i="1"/>
  <c r="D4451" i="1"/>
  <c r="A4452" i="1"/>
  <c r="D4452" i="1"/>
  <c r="A4453" i="1"/>
  <c r="D4453" i="1"/>
  <c r="A4454" i="1"/>
  <c r="D4454" i="1"/>
  <c r="A4455" i="1"/>
  <c r="D4455" i="1"/>
  <c r="A4456" i="1"/>
  <c r="D4456" i="1"/>
  <c r="A4457" i="1"/>
  <c r="D4457" i="1"/>
  <c r="A4458" i="1"/>
  <c r="D4458" i="1"/>
  <c r="A4459" i="1"/>
  <c r="D4459" i="1"/>
  <c r="A4460" i="1"/>
  <c r="D4460" i="1"/>
  <c r="A4461" i="1"/>
  <c r="D4461" i="1"/>
  <c r="A4462" i="1"/>
  <c r="D4462" i="1"/>
  <c r="A4463" i="1"/>
  <c r="D4463" i="1"/>
  <c r="A4464" i="1"/>
  <c r="D4464" i="1"/>
  <c r="A4465" i="1"/>
  <c r="D4465" i="1"/>
  <c r="A4466" i="1"/>
  <c r="D4466" i="1"/>
  <c r="A4467" i="1"/>
  <c r="D4467" i="1"/>
  <c r="A4468" i="1"/>
  <c r="D4468" i="1"/>
  <c r="A4469" i="1"/>
  <c r="D4469" i="1"/>
  <c r="A4470" i="1"/>
  <c r="D4470" i="1"/>
  <c r="A4471" i="1"/>
  <c r="D4471" i="1"/>
  <c r="A4472" i="1"/>
  <c r="D4472" i="1"/>
  <c r="A4473" i="1"/>
  <c r="D4473" i="1"/>
  <c r="A4474" i="1"/>
  <c r="D4474" i="1"/>
  <c r="A4475" i="1"/>
  <c r="D4475" i="1"/>
  <c r="A4476" i="1"/>
  <c r="D4476" i="1"/>
  <c r="A4477" i="1"/>
  <c r="D4477" i="1"/>
  <c r="A4478" i="1"/>
  <c r="D4478" i="1"/>
  <c r="A4479" i="1"/>
  <c r="D4479" i="1"/>
  <c r="A4480" i="1"/>
  <c r="D4480" i="1"/>
  <c r="A4481" i="1"/>
  <c r="D4481" i="1"/>
  <c r="A4482" i="1"/>
  <c r="D4482" i="1"/>
  <c r="A4483" i="1"/>
  <c r="D4483" i="1"/>
  <c r="A4484" i="1"/>
  <c r="D4484" i="1"/>
  <c r="A4485" i="1"/>
  <c r="D4485" i="1"/>
  <c r="A4486" i="1"/>
  <c r="D4486" i="1"/>
  <c r="A4487" i="1"/>
  <c r="D4487" i="1"/>
  <c r="A4488" i="1"/>
  <c r="D4488" i="1"/>
  <c r="A4489" i="1"/>
  <c r="D4489" i="1"/>
  <c r="A4490" i="1"/>
  <c r="D4490" i="1"/>
  <c r="A4491" i="1"/>
  <c r="D4491" i="1"/>
  <c r="A4492" i="1"/>
  <c r="D4492" i="1"/>
  <c r="A4493" i="1"/>
  <c r="D4493" i="1"/>
  <c r="A4494" i="1"/>
  <c r="D4494" i="1"/>
  <c r="A4495" i="1"/>
  <c r="D4495" i="1"/>
  <c r="A4496" i="1"/>
  <c r="D4496" i="1"/>
  <c r="A4497" i="1"/>
  <c r="D4497" i="1"/>
  <c r="A4498" i="1"/>
  <c r="D4498" i="1"/>
  <c r="A4499" i="1"/>
  <c r="D4499" i="1"/>
  <c r="A4500" i="1"/>
  <c r="D4500" i="1"/>
  <c r="A4501" i="1"/>
  <c r="D4501" i="1"/>
  <c r="A4502" i="1"/>
  <c r="D4502" i="1"/>
  <c r="A4503" i="1"/>
  <c r="D4503" i="1"/>
  <c r="A4504" i="1"/>
  <c r="D4504" i="1"/>
  <c r="A4505" i="1"/>
  <c r="D4505" i="1"/>
  <c r="A4506" i="1"/>
  <c r="D4506" i="1"/>
  <c r="A4507" i="1"/>
  <c r="D4507" i="1"/>
  <c r="A4508" i="1"/>
  <c r="D4508" i="1"/>
  <c r="A4509" i="1"/>
  <c r="D4509" i="1"/>
  <c r="A4510" i="1"/>
  <c r="D4510" i="1"/>
  <c r="A4511" i="1"/>
  <c r="D4511" i="1"/>
  <c r="A4512" i="1"/>
  <c r="D4512" i="1"/>
  <c r="A4513" i="1"/>
  <c r="D4513" i="1"/>
  <c r="A4514" i="1"/>
  <c r="D4514" i="1"/>
  <c r="A4515" i="1"/>
  <c r="D4515" i="1"/>
  <c r="A4516" i="1"/>
  <c r="D4516" i="1"/>
  <c r="A4517" i="1"/>
  <c r="D4517" i="1"/>
  <c r="A4518" i="1"/>
  <c r="D4518" i="1"/>
  <c r="A4519" i="1"/>
  <c r="D4519" i="1"/>
  <c r="A4520" i="1"/>
  <c r="D4520" i="1"/>
  <c r="A4521" i="1"/>
  <c r="D4521" i="1"/>
  <c r="A4522" i="1"/>
  <c r="D4522" i="1"/>
  <c r="A4523" i="1"/>
  <c r="D4523" i="1"/>
  <c r="A4524" i="1"/>
  <c r="D4524" i="1"/>
  <c r="A4525" i="1"/>
  <c r="D4525" i="1"/>
  <c r="A4526" i="1"/>
  <c r="D4526" i="1"/>
  <c r="A4527" i="1"/>
  <c r="D4527" i="1"/>
  <c r="A4528" i="1"/>
  <c r="D4528" i="1"/>
  <c r="A4529" i="1"/>
  <c r="D4529" i="1"/>
  <c r="A4530" i="1"/>
  <c r="D4530" i="1"/>
  <c r="A4531" i="1"/>
  <c r="D4531" i="1"/>
  <c r="A4532" i="1"/>
  <c r="D4532" i="1"/>
  <c r="A4533" i="1"/>
  <c r="D4533" i="1"/>
  <c r="A4534" i="1"/>
  <c r="D4534" i="1"/>
  <c r="A4535" i="1"/>
  <c r="D4535" i="1"/>
  <c r="A4536" i="1"/>
  <c r="D4536" i="1"/>
  <c r="A4537" i="1"/>
  <c r="D4537" i="1"/>
  <c r="A4538" i="1"/>
  <c r="D4538" i="1"/>
  <c r="A4539" i="1"/>
  <c r="D4539" i="1"/>
  <c r="A4540" i="1"/>
  <c r="D4540" i="1"/>
  <c r="A4541" i="1"/>
  <c r="D4541" i="1"/>
  <c r="A4542" i="1"/>
  <c r="D4542" i="1"/>
  <c r="A4543" i="1"/>
  <c r="D4543" i="1"/>
  <c r="A4544" i="1"/>
  <c r="D4544" i="1"/>
  <c r="A4545" i="1"/>
  <c r="D4545" i="1"/>
  <c r="A4546" i="1"/>
  <c r="D4546" i="1"/>
  <c r="A4547" i="1"/>
  <c r="D4547" i="1"/>
  <c r="A4548" i="1"/>
  <c r="D4548" i="1"/>
  <c r="A4549" i="1"/>
  <c r="D4549" i="1"/>
  <c r="A4550" i="1"/>
  <c r="D4550" i="1"/>
  <c r="A4551" i="1"/>
  <c r="D4551" i="1"/>
  <c r="A4552" i="1"/>
  <c r="D4552" i="1"/>
  <c r="A4553" i="1"/>
  <c r="D4553" i="1"/>
  <c r="A4554" i="1"/>
  <c r="D4554" i="1"/>
  <c r="A4555" i="1"/>
  <c r="D4555" i="1"/>
  <c r="A4556" i="1"/>
  <c r="D4556" i="1"/>
  <c r="A4557" i="1"/>
  <c r="D4557" i="1"/>
  <c r="A4558" i="1"/>
  <c r="D4558" i="1"/>
  <c r="A4559" i="1"/>
  <c r="D4559" i="1"/>
  <c r="A4560" i="1"/>
  <c r="D4560" i="1"/>
  <c r="A4561" i="1"/>
  <c r="D4561" i="1"/>
  <c r="A4562" i="1"/>
  <c r="D4562" i="1"/>
  <c r="A4563" i="1"/>
  <c r="D4563" i="1"/>
  <c r="A4564" i="1"/>
  <c r="D4564" i="1"/>
  <c r="A4565" i="1"/>
  <c r="D4565" i="1"/>
  <c r="A4566" i="1"/>
  <c r="D4566" i="1"/>
  <c r="A4567" i="1"/>
  <c r="D4567" i="1"/>
  <c r="A4568" i="1"/>
  <c r="D4568" i="1"/>
  <c r="A4569" i="1"/>
  <c r="D4569" i="1"/>
  <c r="A4570" i="1"/>
  <c r="D4570" i="1"/>
  <c r="A4571" i="1"/>
  <c r="D4571" i="1"/>
  <c r="A4572" i="1"/>
  <c r="D4572" i="1"/>
  <c r="A4573" i="1"/>
  <c r="D4573" i="1"/>
  <c r="A4574" i="1"/>
  <c r="D4574" i="1"/>
  <c r="A4575" i="1"/>
  <c r="D4575" i="1"/>
  <c r="A4576" i="1"/>
  <c r="D4576" i="1"/>
  <c r="A4577" i="1"/>
  <c r="D4577" i="1"/>
  <c r="A4578" i="1"/>
  <c r="D4578" i="1"/>
  <c r="A4579" i="1"/>
  <c r="D4579" i="1"/>
  <c r="A4580" i="1"/>
  <c r="D4580" i="1"/>
  <c r="A4581" i="1"/>
  <c r="D4581" i="1"/>
  <c r="A4582" i="1"/>
  <c r="D4582" i="1"/>
  <c r="A4583" i="1"/>
  <c r="D4583" i="1"/>
  <c r="A4584" i="1"/>
  <c r="D4584" i="1"/>
  <c r="A4585" i="1"/>
  <c r="D4585" i="1"/>
  <c r="A4586" i="1"/>
  <c r="D4586" i="1"/>
  <c r="A4587" i="1"/>
  <c r="D4587" i="1"/>
  <c r="A4588" i="1"/>
  <c r="D4588" i="1"/>
  <c r="A4589" i="1"/>
  <c r="D4589" i="1"/>
  <c r="A4590" i="1"/>
  <c r="D4590" i="1"/>
  <c r="A4591" i="1"/>
  <c r="D4591" i="1"/>
  <c r="A4592" i="1"/>
  <c r="D4592" i="1"/>
  <c r="A4593" i="1"/>
  <c r="D4593" i="1"/>
  <c r="A4594" i="1"/>
  <c r="D4594" i="1"/>
  <c r="A4595" i="1"/>
  <c r="D4595" i="1"/>
  <c r="A4596" i="1"/>
  <c r="D4596" i="1"/>
  <c r="A4597" i="1"/>
  <c r="D4597" i="1"/>
  <c r="A4598" i="1"/>
  <c r="D4598" i="1"/>
  <c r="A4599" i="1"/>
  <c r="D4599" i="1"/>
  <c r="A4600" i="1"/>
  <c r="D4600" i="1"/>
  <c r="A4601" i="1"/>
  <c r="D4601" i="1"/>
  <c r="A4602" i="1"/>
  <c r="D4602" i="1"/>
  <c r="A4603" i="1"/>
  <c r="D4603" i="1"/>
  <c r="A4604" i="1"/>
  <c r="D4604" i="1"/>
  <c r="A4605" i="1"/>
  <c r="D4605" i="1"/>
  <c r="A4606" i="1"/>
  <c r="D4606" i="1"/>
  <c r="A4607" i="1"/>
  <c r="D4607" i="1"/>
  <c r="A4608" i="1"/>
  <c r="D4608" i="1"/>
  <c r="A4609" i="1"/>
  <c r="D4609" i="1"/>
  <c r="A4610" i="1"/>
  <c r="D4610" i="1"/>
  <c r="A4611" i="1"/>
  <c r="D4611" i="1"/>
  <c r="A4612" i="1"/>
  <c r="D4612" i="1"/>
  <c r="A4613" i="1"/>
  <c r="D4613" i="1"/>
  <c r="A4614" i="1"/>
  <c r="D4614" i="1"/>
  <c r="A4615" i="1"/>
  <c r="D4615" i="1"/>
  <c r="A4616" i="1"/>
  <c r="D4616" i="1"/>
  <c r="A4617" i="1"/>
  <c r="D4617" i="1"/>
  <c r="A4618" i="1"/>
  <c r="D4618" i="1"/>
  <c r="A4619" i="1"/>
  <c r="D4619" i="1"/>
  <c r="A4620" i="1"/>
  <c r="D4620" i="1"/>
  <c r="A4621" i="1"/>
  <c r="D4621" i="1"/>
  <c r="A4622" i="1"/>
  <c r="D4622" i="1"/>
  <c r="A4623" i="1"/>
  <c r="D4623" i="1"/>
  <c r="A4624" i="1"/>
  <c r="D4624" i="1"/>
  <c r="A4625" i="1"/>
  <c r="D4625" i="1"/>
  <c r="A4626" i="1"/>
  <c r="D4626" i="1"/>
  <c r="A4627" i="1"/>
  <c r="D4627" i="1"/>
  <c r="A4628" i="1"/>
  <c r="D4628" i="1"/>
  <c r="A4629" i="1"/>
  <c r="D4629" i="1"/>
  <c r="A4630" i="1"/>
  <c r="D4630" i="1"/>
  <c r="A4631" i="1"/>
  <c r="D4631" i="1"/>
  <c r="A4632" i="1"/>
  <c r="D4632" i="1"/>
  <c r="A4633" i="1"/>
  <c r="D4633" i="1"/>
  <c r="A4634" i="1"/>
  <c r="D4634" i="1"/>
  <c r="A4635" i="1"/>
  <c r="D4635" i="1"/>
  <c r="A4636" i="1"/>
  <c r="D4636" i="1"/>
  <c r="A4637" i="1"/>
  <c r="D4637" i="1"/>
  <c r="A4638" i="1"/>
  <c r="D4638" i="1"/>
  <c r="A4639" i="1"/>
  <c r="D4639" i="1"/>
  <c r="A4640" i="1"/>
  <c r="D4640" i="1"/>
  <c r="A4641" i="1"/>
  <c r="D4641" i="1"/>
  <c r="A4642" i="1"/>
  <c r="D4642" i="1"/>
  <c r="A4643" i="1"/>
  <c r="D4643" i="1"/>
  <c r="A4644" i="1"/>
  <c r="D4644" i="1"/>
  <c r="A4645" i="1"/>
  <c r="D4645" i="1"/>
  <c r="A4646" i="1"/>
  <c r="D4646" i="1"/>
  <c r="A4647" i="1"/>
  <c r="D4647" i="1"/>
  <c r="A4648" i="1"/>
  <c r="D4648" i="1"/>
  <c r="A4649" i="1"/>
  <c r="D4649" i="1"/>
  <c r="A4650" i="1"/>
  <c r="D4650" i="1"/>
  <c r="A4651" i="1"/>
  <c r="D4651" i="1"/>
  <c r="A4652" i="1"/>
  <c r="D4652" i="1"/>
  <c r="A4653" i="1"/>
  <c r="D4653" i="1"/>
  <c r="A4654" i="1"/>
  <c r="D4654" i="1"/>
  <c r="A4655" i="1"/>
  <c r="D4655" i="1"/>
  <c r="A4656" i="1"/>
  <c r="D4656" i="1"/>
  <c r="A4657" i="1"/>
  <c r="D4657" i="1"/>
  <c r="A4658" i="1"/>
  <c r="D4658" i="1"/>
  <c r="A4659" i="1"/>
  <c r="D4659" i="1"/>
  <c r="A4660" i="1"/>
  <c r="D4660" i="1"/>
  <c r="A4661" i="1"/>
  <c r="D4661" i="1"/>
  <c r="A4662" i="1"/>
  <c r="D4662" i="1"/>
  <c r="A4663" i="1"/>
  <c r="D4663" i="1"/>
  <c r="A4664" i="1"/>
  <c r="D4664" i="1"/>
  <c r="A4665" i="1"/>
  <c r="D4665" i="1"/>
  <c r="A4666" i="1"/>
  <c r="D4666" i="1"/>
  <c r="A4667" i="1"/>
  <c r="D4667" i="1"/>
  <c r="A4668" i="1"/>
  <c r="D4668" i="1"/>
  <c r="A4669" i="1"/>
  <c r="D4669" i="1"/>
  <c r="A4670" i="1"/>
  <c r="D4670" i="1"/>
  <c r="A4671" i="1"/>
  <c r="D4671" i="1"/>
  <c r="A4672" i="1"/>
  <c r="D4672" i="1"/>
  <c r="A4673" i="1"/>
  <c r="D4673" i="1"/>
  <c r="A4674" i="1"/>
  <c r="D4674" i="1"/>
  <c r="A4675" i="1"/>
  <c r="D4675" i="1"/>
  <c r="A4676" i="1"/>
  <c r="D4676" i="1"/>
  <c r="A4677" i="1"/>
  <c r="D4677" i="1"/>
  <c r="A4678" i="1"/>
  <c r="D4678" i="1"/>
  <c r="A4679" i="1"/>
  <c r="D4679" i="1"/>
  <c r="A4680" i="1"/>
  <c r="D4680" i="1"/>
  <c r="A4681" i="1"/>
  <c r="D4681" i="1"/>
  <c r="A4682" i="1"/>
  <c r="D4682" i="1"/>
  <c r="A4683" i="1"/>
  <c r="D4683" i="1"/>
  <c r="A4684" i="1"/>
  <c r="D4684" i="1"/>
  <c r="A4685" i="1"/>
  <c r="D4685" i="1"/>
  <c r="A4686" i="1"/>
  <c r="D4686" i="1"/>
  <c r="A4687" i="1"/>
  <c r="D4687" i="1"/>
  <c r="A4688" i="1"/>
  <c r="D4688" i="1"/>
  <c r="A4689" i="1"/>
  <c r="D4689" i="1"/>
  <c r="A4690" i="1"/>
  <c r="D4690" i="1"/>
  <c r="A4691" i="1"/>
  <c r="D4691" i="1"/>
  <c r="A4692" i="1"/>
  <c r="D4692" i="1"/>
  <c r="A4693" i="1"/>
  <c r="D4693" i="1"/>
  <c r="A4694" i="1"/>
  <c r="D4694" i="1"/>
  <c r="A4695" i="1"/>
  <c r="D4695" i="1"/>
  <c r="A4696" i="1"/>
  <c r="D4696" i="1"/>
  <c r="A4697" i="1"/>
  <c r="D4697" i="1"/>
  <c r="A4698" i="1"/>
  <c r="D4698" i="1"/>
  <c r="A4699" i="1"/>
  <c r="D4699" i="1"/>
  <c r="A4700" i="1"/>
  <c r="D4700" i="1"/>
  <c r="A4701" i="1"/>
  <c r="D4701" i="1"/>
  <c r="A4702" i="1"/>
  <c r="D4702" i="1"/>
  <c r="A4703" i="1"/>
  <c r="D4703" i="1"/>
  <c r="A4704" i="1"/>
  <c r="D4704" i="1"/>
  <c r="A4705" i="1"/>
  <c r="D4705" i="1"/>
  <c r="A4706" i="1"/>
  <c r="D4706" i="1"/>
  <c r="A4707" i="1"/>
  <c r="D4707" i="1"/>
  <c r="A4708" i="1"/>
  <c r="D4708" i="1"/>
  <c r="A4709" i="1"/>
  <c r="D4709" i="1"/>
  <c r="A4710" i="1"/>
  <c r="D4710" i="1"/>
  <c r="A4711" i="1"/>
  <c r="D4711" i="1"/>
  <c r="A4712" i="1"/>
  <c r="D4712" i="1"/>
  <c r="A4713" i="1"/>
  <c r="D4713" i="1"/>
  <c r="A4714" i="1"/>
  <c r="D4714" i="1"/>
  <c r="A4715" i="1"/>
  <c r="D4715" i="1"/>
  <c r="A4716" i="1"/>
  <c r="D4716" i="1"/>
  <c r="A4717" i="1"/>
  <c r="D4717" i="1"/>
  <c r="A4718" i="1"/>
  <c r="D4718" i="1"/>
  <c r="A4719" i="1"/>
  <c r="D4719" i="1"/>
  <c r="A4720" i="1"/>
  <c r="D4720" i="1"/>
  <c r="A4721" i="1"/>
  <c r="D4721" i="1"/>
  <c r="A4722" i="1"/>
  <c r="D4722" i="1"/>
  <c r="A4723" i="1"/>
  <c r="D4723" i="1"/>
  <c r="A4724" i="1"/>
  <c r="D4724" i="1"/>
  <c r="A4725" i="1"/>
  <c r="D4725" i="1"/>
  <c r="A4726" i="1"/>
  <c r="D4726" i="1"/>
  <c r="A4727" i="1"/>
  <c r="D4727" i="1"/>
  <c r="A4728" i="1"/>
  <c r="D4728" i="1"/>
  <c r="A4729" i="1"/>
  <c r="D4729" i="1"/>
  <c r="A4730" i="1"/>
  <c r="D4730" i="1"/>
  <c r="A4731" i="1"/>
  <c r="D4731" i="1"/>
  <c r="A4732" i="1"/>
  <c r="D4732" i="1"/>
  <c r="A4733" i="1"/>
  <c r="D4733" i="1"/>
  <c r="A4734" i="1"/>
  <c r="D4734" i="1"/>
  <c r="A4735" i="1"/>
  <c r="D4735" i="1"/>
  <c r="A4736" i="1"/>
  <c r="D4736" i="1"/>
  <c r="A4737" i="1"/>
  <c r="D4737" i="1"/>
  <c r="A4738" i="1"/>
  <c r="D4738" i="1"/>
  <c r="A4739" i="1"/>
  <c r="D4739" i="1"/>
  <c r="A4740" i="1"/>
  <c r="D4740" i="1"/>
  <c r="A4741" i="1"/>
  <c r="D4741" i="1"/>
  <c r="A4742" i="1"/>
  <c r="D4742" i="1"/>
  <c r="A4743" i="1"/>
  <c r="D4743" i="1"/>
  <c r="A4744" i="1"/>
  <c r="D4744" i="1"/>
  <c r="A4745" i="1"/>
  <c r="D4745" i="1"/>
  <c r="A4746" i="1"/>
  <c r="D4746" i="1"/>
  <c r="A4747" i="1"/>
  <c r="D4747" i="1"/>
  <c r="A4748" i="1"/>
  <c r="D4748" i="1"/>
  <c r="A4749" i="1"/>
  <c r="D4749" i="1"/>
  <c r="A4750" i="1"/>
  <c r="D4750" i="1"/>
  <c r="A4751" i="1"/>
  <c r="D4751" i="1"/>
  <c r="A4752" i="1"/>
  <c r="D4752" i="1"/>
  <c r="A4753" i="1"/>
  <c r="D4753" i="1"/>
  <c r="A4754" i="1"/>
  <c r="D4754" i="1"/>
  <c r="A4755" i="1"/>
  <c r="D4755" i="1"/>
  <c r="A4756" i="1"/>
  <c r="D4756" i="1"/>
  <c r="A4757" i="1"/>
  <c r="D4757" i="1"/>
  <c r="A4758" i="1"/>
  <c r="D4758" i="1"/>
  <c r="A4759" i="1"/>
  <c r="D4759" i="1"/>
  <c r="A4760" i="1"/>
  <c r="D4760" i="1"/>
  <c r="A4761" i="1"/>
  <c r="D4761" i="1"/>
  <c r="A4762" i="1"/>
  <c r="D4762" i="1"/>
  <c r="A4763" i="1"/>
  <c r="D4763" i="1"/>
  <c r="A4764" i="1"/>
  <c r="D4764" i="1"/>
  <c r="A4765" i="1"/>
  <c r="D4765" i="1"/>
  <c r="A4766" i="1"/>
  <c r="D4766" i="1"/>
  <c r="A4767" i="1"/>
  <c r="D4767" i="1"/>
  <c r="A4768" i="1"/>
  <c r="D4768" i="1"/>
  <c r="A4769" i="1"/>
  <c r="D4769" i="1"/>
  <c r="A4770" i="1"/>
  <c r="D4770" i="1"/>
  <c r="A4771" i="1"/>
  <c r="D4771" i="1"/>
  <c r="A4772" i="1"/>
  <c r="D4772" i="1"/>
  <c r="A4773" i="1"/>
  <c r="D4773" i="1"/>
  <c r="A4774" i="1"/>
  <c r="D4774" i="1"/>
  <c r="A4775" i="1"/>
  <c r="D4775" i="1"/>
  <c r="A4776" i="1"/>
  <c r="D4776" i="1"/>
  <c r="A4777" i="1"/>
  <c r="D4777" i="1"/>
  <c r="A4778" i="1"/>
  <c r="D4778" i="1"/>
  <c r="A4779" i="1"/>
  <c r="D4779" i="1"/>
  <c r="A4780" i="1"/>
  <c r="D4780" i="1"/>
  <c r="A4781" i="1"/>
  <c r="D4781" i="1"/>
  <c r="A4782" i="1"/>
  <c r="D4782" i="1"/>
  <c r="A4783" i="1"/>
  <c r="D4783" i="1"/>
  <c r="A4784" i="1"/>
  <c r="D4784" i="1"/>
  <c r="A4785" i="1"/>
  <c r="D4785" i="1"/>
  <c r="A4786" i="1"/>
  <c r="D4786" i="1"/>
  <c r="A4787" i="1"/>
  <c r="D4787" i="1"/>
  <c r="A4788" i="1"/>
  <c r="D4788" i="1"/>
  <c r="A4789" i="1"/>
  <c r="D4789" i="1"/>
  <c r="A4790" i="1"/>
  <c r="D4790" i="1"/>
  <c r="A4791" i="1"/>
  <c r="D4791" i="1"/>
  <c r="A4792" i="1"/>
  <c r="D4792" i="1"/>
  <c r="A4793" i="1"/>
  <c r="D4793" i="1"/>
  <c r="A4794" i="1"/>
  <c r="D4794" i="1"/>
  <c r="A4795" i="1"/>
  <c r="D4795" i="1"/>
  <c r="A4796" i="1"/>
  <c r="D4796" i="1"/>
  <c r="A4797" i="1"/>
  <c r="D4797" i="1"/>
  <c r="A4798" i="1"/>
  <c r="D4798" i="1"/>
  <c r="A4799" i="1"/>
  <c r="D4799" i="1"/>
  <c r="A4800" i="1"/>
  <c r="D4800" i="1"/>
  <c r="A4801" i="1"/>
  <c r="D4801" i="1"/>
  <c r="A4802" i="1"/>
  <c r="D4802" i="1"/>
  <c r="A4803" i="1"/>
  <c r="D4803" i="1"/>
  <c r="A4804" i="1"/>
  <c r="D4804" i="1"/>
  <c r="A4805" i="1"/>
  <c r="D4805" i="1"/>
  <c r="A4806" i="1"/>
  <c r="D4806" i="1"/>
  <c r="A4807" i="1"/>
  <c r="D4807" i="1"/>
  <c r="A4808" i="1"/>
  <c r="D4808" i="1"/>
  <c r="A4809" i="1"/>
  <c r="D4809" i="1"/>
  <c r="A4810" i="1"/>
  <c r="D4810" i="1"/>
  <c r="A4811" i="1"/>
  <c r="D4811" i="1"/>
  <c r="A4812" i="1"/>
  <c r="D4812" i="1"/>
  <c r="A4813" i="1"/>
  <c r="D4813" i="1"/>
  <c r="A4814" i="1"/>
  <c r="D4814" i="1"/>
  <c r="A4815" i="1"/>
  <c r="D4815" i="1"/>
  <c r="A4816" i="1"/>
  <c r="D4816" i="1"/>
  <c r="A4817" i="1"/>
  <c r="D4817" i="1"/>
  <c r="A4818" i="1"/>
  <c r="D4818" i="1"/>
  <c r="A4819" i="1"/>
  <c r="D4819" i="1"/>
  <c r="A4820" i="1"/>
  <c r="D4820" i="1"/>
  <c r="A4821" i="1"/>
  <c r="D4821" i="1"/>
  <c r="A4822" i="1"/>
  <c r="D4822" i="1"/>
  <c r="A4823" i="1"/>
  <c r="D4823" i="1"/>
  <c r="A4824" i="1"/>
  <c r="D4824" i="1"/>
  <c r="A4825" i="1"/>
  <c r="D4825" i="1"/>
  <c r="A4826" i="1"/>
  <c r="D4826" i="1"/>
  <c r="A4827" i="1"/>
  <c r="D4827" i="1"/>
  <c r="A4828" i="1"/>
  <c r="D4828" i="1"/>
  <c r="A4829" i="1"/>
  <c r="D4829" i="1"/>
  <c r="A4830" i="1"/>
  <c r="D4830" i="1"/>
  <c r="A4831" i="1"/>
  <c r="D4831" i="1"/>
  <c r="A4832" i="1"/>
  <c r="D4832" i="1"/>
  <c r="A4833" i="1"/>
  <c r="D4833" i="1"/>
  <c r="A4834" i="1"/>
  <c r="D4834" i="1"/>
  <c r="A4835" i="1"/>
  <c r="D4835" i="1"/>
  <c r="A4836" i="1"/>
  <c r="D4836" i="1"/>
  <c r="A4837" i="1"/>
  <c r="D4837" i="1"/>
  <c r="A4838" i="1"/>
  <c r="D4838" i="1"/>
  <c r="A4839" i="1"/>
  <c r="D4839" i="1"/>
  <c r="A4840" i="1"/>
  <c r="D4840" i="1"/>
  <c r="A4841" i="1"/>
  <c r="D4841" i="1"/>
  <c r="A4842" i="1"/>
  <c r="D4842" i="1"/>
  <c r="A4843" i="1"/>
  <c r="D4843" i="1"/>
  <c r="A4844" i="1"/>
  <c r="D4844" i="1"/>
  <c r="A4845" i="1"/>
  <c r="D4845" i="1"/>
  <c r="A4846" i="1"/>
  <c r="D4846" i="1"/>
  <c r="A4847" i="1"/>
  <c r="D4847" i="1"/>
  <c r="A4848" i="1"/>
  <c r="D4848" i="1"/>
  <c r="A4849" i="1"/>
  <c r="D4849" i="1"/>
  <c r="A4850" i="1"/>
  <c r="D4850" i="1"/>
  <c r="A4851" i="1"/>
  <c r="D4851" i="1"/>
  <c r="A4852" i="1"/>
  <c r="D4852" i="1"/>
  <c r="A4853" i="1"/>
  <c r="D4853" i="1"/>
  <c r="A4854" i="1"/>
  <c r="D4854" i="1"/>
  <c r="A4855" i="1"/>
  <c r="D4855" i="1"/>
  <c r="A4856" i="1"/>
  <c r="D4856" i="1"/>
  <c r="A4857" i="1"/>
  <c r="D4857" i="1"/>
  <c r="A4858" i="1"/>
  <c r="D4858" i="1"/>
  <c r="A4859" i="1"/>
  <c r="D4859" i="1"/>
  <c r="A4860" i="1"/>
  <c r="D4860" i="1"/>
  <c r="A4861" i="1"/>
  <c r="D4861" i="1"/>
  <c r="A4862" i="1"/>
  <c r="D4862" i="1"/>
  <c r="A4863" i="1"/>
  <c r="D4863" i="1"/>
  <c r="A4864" i="1"/>
  <c r="D4864" i="1"/>
  <c r="A4865" i="1"/>
  <c r="D4865" i="1"/>
  <c r="A4866" i="1"/>
  <c r="D4866" i="1"/>
  <c r="A4867" i="1"/>
  <c r="D4867" i="1"/>
  <c r="A4868" i="1"/>
  <c r="D4868" i="1"/>
  <c r="A4869" i="1"/>
  <c r="D4869" i="1"/>
  <c r="A4870" i="1"/>
  <c r="D4870" i="1"/>
  <c r="A4871" i="1"/>
  <c r="D4871" i="1"/>
  <c r="A4872" i="1"/>
  <c r="D4872" i="1"/>
  <c r="A4873" i="1"/>
  <c r="D4873" i="1"/>
  <c r="A4874" i="1"/>
  <c r="D4874" i="1"/>
  <c r="A4875" i="1"/>
  <c r="D4875" i="1"/>
  <c r="A4876" i="1"/>
  <c r="D4876" i="1"/>
  <c r="A4877" i="1"/>
  <c r="D4877" i="1"/>
  <c r="A4878" i="1"/>
  <c r="D4878" i="1"/>
  <c r="A4879" i="1"/>
  <c r="D4879" i="1"/>
  <c r="A4880" i="1"/>
  <c r="D4880" i="1"/>
  <c r="A4881" i="1"/>
  <c r="D4881" i="1"/>
  <c r="A4882" i="1"/>
  <c r="D4882" i="1"/>
  <c r="A4883" i="1"/>
  <c r="D4883" i="1"/>
  <c r="A4884" i="1"/>
  <c r="D4884" i="1"/>
  <c r="A4885" i="1"/>
  <c r="D4885" i="1"/>
  <c r="A4886" i="1"/>
  <c r="D4886" i="1"/>
  <c r="A4887" i="1"/>
  <c r="D4887" i="1"/>
  <c r="A4888" i="1"/>
  <c r="D4888" i="1"/>
  <c r="A4889" i="1"/>
  <c r="D4889" i="1"/>
  <c r="A4890" i="1"/>
  <c r="D4890" i="1"/>
  <c r="A4891" i="1"/>
  <c r="D4891" i="1"/>
  <c r="A4892" i="1"/>
  <c r="D4892" i="1"/>
  <c r="A4893" i="1"/>
  <c r="D4893" i="1"/>
  <c r="A4894" i="1"/>
  <c r="D4894" i="1"/>
  <c r="A4895" i="1"/>
  <c r="D4895" i="1"/>
  <c r="A4896" i="1"/>
  <c r="D4896" i="1"/>
  <c r="A4897" i="1"/>
  <c r="D4897" i="1"/>
  <c r="A4898" i="1"/>
  <c r="D4898" i="1"/>
  <c r="A4899" i="1"/>
  <c r="D4899" i="1"/>
  <c r="A4900" i="1"/>
  <c r="D4900" i="1"/>
  <c r="A4901" i="1"/>
  <c r="D4901" i="1"/>
  <c r="A4902" i="1"/>
  <c r="D4902" i="1"/>
  <c r="A4903" i="1"/>
  <c r="D4903" i="1"/>
  <c r="A4904" i="1"/>
  <c r="D4904" i="1"/>
  <c r="A4905" i="1"/>
  <c r="D4905" i="1"/>
  <c r="A4906" i="1"/>
  <c r="D4906" i="1"/>
  <c r="A4907" i="1"/>
  <c r="D4907" i="1"/>
  <c r="A4908" i="1"/>
  <c r="D4908" i="1"/>
  <c r="A4909" i="1"/>
  <c r="D4909" i="1"/>
  <c r="A4910" i="1"/>
  <c r="D4910" i="1"/>
  <c r="A4911" i="1"/>
  <c r="D4911" i="1"/>
  <c r="A4912" i="1"/>
  <c r="D4912" i="1"/>
  <c r="A4913" i="1"/>
  <c r="D4913" i="1"/>
  <c r="A4914" i="1"/>
  <c r="D4914" i="1"/>
  <c r="A4915" i="1"/>
  <c r="D4915" i="1"/>
  <c r="A4916" i="1"/>
  <c r="D4916" i="1"/>
  <c r="A4917" i="1"/>
  <c r="D4917" i="1"/>
  <c r="A4918" i="1"/>
  <c r="D4918" i="1"/>
  <c r="A4919" i="1"/>
  <c r="D4919" i="1"/>
  <c r="A4920" i="1"/>
  <c r="D4920" i="1"/>
  <c r="A4921" i="1"/>
  <c r="D4921" i="1"/>
  <c r="A4922" i="1"/>
  <c r="D4922" i="1"/>
  <c r="A4923" i="1"/>
  <c r="D4923" i="1"/>
  <c r="A4924" i="1"/>
  <c r="D4924" i="1"/>
  <c r="A4925" i="1"/>
  <c r="D4925" i="1"/>
  <c r="A4926" i="1"/>
  <c r="D4926" i="1"/>
  <c r="A4927" i="1"/>
  <c r="D4927" i="1"/>
  <c r="A4928" i="1"/>
  <c r="D4928" i="1"/>
  <c r="A4929" i="1"/>
  <c r="D4929" i="1"/>
  <c r="A4930" i="1"/>
  <c r="D4930" i="1"/>
  <c r="A4931" i="1"/>
  <c r="D4931" i="1"/>
  <c r="A4932" i="1"/>
  <c r="D4932" i="1"/>
  <c r="A4933" i="1"/>
  <c r="D4933" i="1"/>
  <c r="A4934" i="1"/>
  <c r="D4934" i="1"/>
  <c r="A4935" i="1"/>
  <c r="D4935" i="1"/>
  <c r="A4936" i="1"/>
  <c r="D4936" i="1"/>
  <c r="A4937" i="1"/>
  <c r="D4937" i="1"/>
  <c r="A4938" i="1"/>
  <c r="D4938" i="1"/>
  <c r="A4939" i="1"/>
  <c r="D4939" i="1"/>
  <c r="A4940" i="1"/>
  <c r="D4940" i="1"/>
  <c r="A4941" i="1"/>
  <c r="D4941" i="1"/>
  <c r="A4942" i="1"/>
  <c r="D4942" i="1"/>
  <c r="A4943" i="1"/>
  <c r="D4943" i="1"/>
  <c r="A4944" i="1"/>
  <c r="D4944" i="1"/>
  <c r="A4945" i="1"/>
  <c r="D4945" i="1"/>
  <c r="A4946" i="1"/>
  <c r="D4946" i="1"/>
  <c r="A4947" i="1"/>
  <c r="D4947" i="1"/>
  <c r="A4948" i="1"/>
  <c r="D4948" i="1"/>
  <c r="A4949" i="1"/>
  <c r="D4949" i="1"/>
  <c r="A4950" i="1"/>
  <c r="D4950" i="1"/>
  <c r="A4951" i="1"/>
  <c r="D4951" i="1"/>
  <c r="A4952" i="1"/>
  <c r="D4952" i="1"/>
  <c r="A4953" i="1"/>
  <c r="D4953" i="1"/>
  <c r="A4954" i="1"/>
  <c r="D4954" i="1"/>
  <c r="A4955" i="1"/>
  <c r="D4955" i="1"/>
  <c r="A4956" i="1"/>
  <c r="D4956" i="1"/>
  <c r="A4957" i="1"/>
  <c r="D4957" i="1"/>
  <c r="A4958" i="1"/>
  <c r="D4958" i="1"/>
  <c r="A4959" i="1"/>
  <c r="D4959" i="1"/>
  <c r="A4960" i="1"/>
  <c r="D4960" i="1"/>
  <c r="A4961" i="1"/>
  <c r="D4961" i="1"/>
  <c r="A4962" i="1"/>
  <c r="D4962" i="1"/>
  <c r="A4963" i="1"/>
  <c r="D4963" i="1"/>
  <c r="A4964" i="1"/>
  <c r="D4964" i="1"/>
  <c r="A4965" i="1"/>
  <c r="D4965" i="1"/>
  <c r="A4966" i="1"/>
  <c r="D4966" i="1"/>
  <c r="A4967" i="1"/>
  <c r="D4967" i="1"/>
  <c r="A4968" i="1"/>
  <c r="D4968" i="1"/>
  <c r="A4969" i="1"/>
  <c r="D4969" i="1"/>
  <c r="A4970" i="1"/>
  <c r="D4970" i="1"/>
  <c r="A4971" i="1"/>
  <c r="D4971" i="1"/>
  <c r="A4972" i="1"/>
  <c r="D4972" i="1"/>
  <c r="A4973" i="1"/>
  <c r="D4973" i="1"/>
  <c r="A4974" i="1"/>
  <c r="D4974" i="1"/>
  <c r="A4975" i="1"/>
  <c r="D4975" i="1"/>
  <c r="A4976" i="1"/>
  <c r="D4976" i="1"/>
  <c r="A4977" i="1"/>
  <c r="D4977" i="1"/>
  <c r="A4978" i="1"/>
  <c r="D4978" i="1"/>
  <c r="A4979" i="1"/>
  <c r="D4979" i="1"/>
  <c r="A4980" i="1"/>
  <c r="D4980" i="1"/>
  <c r="A4981" i="1"/>
  <c r="D4981" i="1"/>
  <c r="A4982" i="1"/>
  <c r="D4982" i="1"/>
  <c r="A4983" i="1"/>
  <c r="D4983" i="1"/>
  <c r="A4984" i="1"/>
  <c r="D4984" i="1"/>
  <c r="A4985" i="1"/>
  <c r="D4985" i="1"/>
  <c r="A4986" i="1"/>
  <c r="D4986" i="1"/>
  <c r="A4987" i="1"/>
  <c r="D4987" i="1"/>
  <c r="A4988" i="1"/>
  <c r="D4988" i="1"/>
  <c r="A4989" i="1"/>
  <c r="D4989" i="1"/>
  <c r="A4990" i="1"/>
  <c r="D4990" i="1"/>
  <c r="A4991" i="1"/>
  <c r="D4991" i="1"/>
  <c r="A4992" i="1"/>
  <c r="D4992" i="1"/>
  <c r="A4993" i="1"/>
  <c r="D4993" i="1"/>
  <c r="A4994" i="1"/>
  <c r="D4994" i="1"/>
  <c r="A4995" i="1"/>
  <c r="D4995" i="1"/>
  <c r="A4996" i="1"/>
  <c r="D4996" i="1"/>
  <c r="A4997" i="1"/>
  <c r="D4997" i="1"/>
  <c r="A4998" i="1"/>
  <c r="D4998" i="1"/>
  <c r="A4999" i="1"/>
  <c r="D4999" i="1"/>
  <c r="A5000" i="1"/>
  <c r="D5000" i="1"/>
  <c r="A5001" i="1"/>
  <c r="D5001" i="1"/>
  <c r="A5002" i="1"/>
  <c r="D5002" i="1"/>
  <c r="A5003" i="1"/>
  <c r="D5003" i="1"/>
  <c r="A5004" i="1"/>
  <c r="D5004" i="1"/>
  <c r="A5005" i="1"/>
  <c r="D5005" i="1"/>
  <c r="A5006" i="1"/>
  <c r="D5006" i="1"/>
  <c r="A5007" i="1"/>
  <c r="D5007" i="1"/>
  <c r="A5008" i="1"/>
  <c r="D5008" i="1"/>
  <c r="A5009" i="1"/>
  <c r="D5009" i="1"/>
  <c r="A5010" i="1"/>
  <c r="D5010" i="1"/>
  <c r="A5011" i="1"/>
  <c r="D5011" i="1"/>
  <c r="A5012" i="1"/>
  <c r="D5012" i="1"/>
  <c r="A5013" i="1"/>
  <c r="D5013" i="1"/>
  <c r="A5014" i="1"/>
  <c r="D5014" i="1"/>
  <c r="A5015" i="1"/>
  <c r="D5015" i="1"/>
  <c r="A5016" i="1"/>
  <c r="D5016" i="1"/>
  <c r="A5017" i="1"/>
  <c r="D5017" i="1"/>
  <c r="A5018" i="1"/>
  <c r="D5018" i="1"/>
  <c r="A5019" i="1"/>
  <c r="D5019" i="1"/>
  <c r="A5020" i="1"/>
  <c r="D5020" i="1"/>
  <c r="A5021" i="1"/>
  <c r="D5021" i="1"/>
  <c r="A5022" i="1"/>
  <c r="D5022" i="1"/>
  <c r="A5023" i="1"/>
  <c r="D5023" i="1"/>
  <c r="A5024" i="1"/>
  <c r="D5024" i="1"/>
  <c r="A5025" i="1"/>
  <c r="D5025" i="1"/>
  <c r="A5026" i="1"/>
  <c r="D5026" i="1"/>
  <c r="A5027" i="1"/>
  <c r="D5027" i="1"/>
  <c r="A5028" i="1"/>
  <c r="D5028" i="1"/>
  <c r="A5029" i="1"/>
  <c r="D5029" i="1"/>
  <c r="A5030" i="1"/>
  <c r="D5030" i="1"/>
  <c r="A5031" i="1"/>
  <c r="D5031" i="1"/>
  <c r="A5032" i="1"/>
  <c r="D5032" i="1"/>
  <c r="A5033" i="1"/>
  <c r="D5033" i="1"/>
  <c r="A5034" i="1"/>
  <c r="D5034" i="1"/>
  <c r="A5035" i="1"/>
  <c r="D5035" i="1"/>
  <c r="A5036" i="1"/>
  <c r="D5036" i="1"/>
  <c r="A5037" i="1"/>
  <c r="D5037" i="1"/>
  <c r="A5038" i="1"/>
  <c r="D5038" i="1"/>
  <c r="A5039" i="1"/>
  <c r="D5039" i="1"/>
  <c r="A5040" i="1"/>
  <c r="D5040" i="1"/>
  <c r="A5041" i="1"/>
  <c r="D5041" i="1"/>
  <c r="A5042" i="1"/>
  <c r="D5042" i="1"/>
  <c r="A5043" i="1"/>
  <c r="D5043" i="1"/>
  <c r="A5044" i="1"/>
  <c r="D5044" i="1"/>
  <c r="A5045" i="1"/>
  <c r="D5045" i="1"/>
  <c r="A5046" i="1"/>
  <c r="D5046" i="1"/>
  <c r="A5047" i="1"/>
  <c r="D5047" i="1"/>
  <c r="A5048" i="1"/>
  <c r="D5048" i="1"/>
  <c r="A5049" i="1"/>
  <c r="D5049" i="1"/>
  <c r="A5050" i="1"/>
  <c r="D5050" i="1"/>
  <c r="A5051" i="1"/>
  <c r="D5051" i="1"/>
  <c r="A5052" i="1"/>
  <c r="D5052" i="1"/>
  <c r="A5053" i="1"/>
  <c r="D5053" i="1"/>
  <c r="A5054" i="1"/>
  <c r="D5054" i="1"/>
  <c r="A5055" i="1"/>
  <c r="D5055" i="1"/>
  <c r="A5056" i="1"/>
  <c r="D5056" i="1"/>
  <c r="A5057" i="1"/>
  <c r="D5057" i="1"/>
  <c r="A5058" i="1"/>
  <c r="D5058" i="1"/>
  <c r="A5059" i="1"/>
  <c r="D5059" i="1"/>
  <c r="A5060" i="1"/>
  <c r="D5060" i="1"/>
  <c r="A5061" i="1"/>
  <c r="D5061" i="1"/>
  <c r="A5062" i="1"/>
  <c r="D5062" i="1"/>
  <c r="A5063" i="1"/>
  <c r="D5063" i="1"/>
  <c r="A5064" i="1"/>
  <c r="D5064" i="1"/>
  <c r="A5065" i="1"/>
  <c r="D5065" i="1"/>
  <c r="A5066" i="1"/>
  <c r="D5066" i="1"/>
  <c r="A5067" i="1"/>
  <c r="D5067" i="1"/>
  <c r="A5068" i="1"/>
  <c r="D5068" i="1"/>
  <c r="A5069" i="1"/>
  <c r="D5069" i="1"/>
  <c r="A5070" i="1"/>
  <c r="D5070" i="1"/>
  <c r="A5071" i="1"/>
  <c r="D5071" i="1"/>
  <c r="A5072" i="1"/>
  <c r="D5072" i="1"/>
  <c r="A5073" i="1"/>
  <c r="D5073" i="1"/>
  <c r="A5074" i="1"/>
  <c r="D5074" i="1"/>
  <c r="A5075" i="1"/>
  <c r="D5075" i="1"/>
  <c r="A5076" i="1"/>
  <c r="D5076" i="1"/>
  <c r="A5077" i="1"/>
  <c r="D5077" i="1"/>
  <c r="A5078" i="1"/>
  <c r="D5078" i="1"/>
  <c r="A5079" i="1"/>
  <c r="D5079" i="1"/>
  <c r="A5080" i="1"/>
  <c r="D5080" i="1"/>
  <c r="A5081" i="1"/>
  <c r="D5081" i="1"/>
  <c r="A5082" i="1"/>
  <c r="D5082" i="1"/>
  <c r="A5083" i="1"/>
  <c r="D5083" i="1"/>
  <c r="A5084" i="1"/>
  <c r="D5084" i="1"/>
  <c r="A5085" i="1"/>
  <c r="D5085" i="1"/>
  <c r="A5086" i="1"/>
  <c r="D5086" i="1"/>
  <c r="A5087" i="1"/>
  <c r="D5087" i="1"/>
  <c r="A5088" i="1"/>
  <c r="D5088" i="1"/>
  <c r="A5089" i="1"/>
  <c r="D5089" i="1"/>
  <c r="A5090" i="1"/>
  <c r="D5090" i="1"/>
  <c r="A5091" i="1"/>
  <c r="D5091" i="1"/>
  <c r="A5092" i="1"/>
  <c r="D5092" i="1"/>
  <c r="A5093" i="1"/>
  <c r="D5093" i="1"/>
  <c r="A5094" i="1"/>
  <c r="D5094" i="1"/>
  <c r="A5095" i="1"/>
  <c r="D5095" i="1"/>
  <c r="A5096" i="1"/>
  <c r="D5096" i="1"/>
  <c r="A5097" i="1"/>
  <c r="D5097" i="1"/>
  <c r="A5098" i="1"/>
  <c r="D5098" i="1"/>
  <c r="A5099" i="1"/>
  <c r="D5099" i="1"/>
  <c r="A5100" i="1"/>
  <c r="D5100" i="1"/>
  <c r="A5101" i="1"/>
  <c r="D5101" i="1"/>
  <c r="A5102" i="1"/>
  <c r="D5102" i="1"/>
  <c r="A5103" i="1"/>
  <c r="D5103" i="1"/>
  <c r="A5104" i="1"/>
  <c r="D5104" i="1"/>
  <c r="A5105" i="1"/>
  <c r="D5105" i="1"/>
  <c r="A5106" i="1"/>
  <c r="D5106" i="1"/>
  <c r="A5107" i="1"/>
  <c r="D5107" i="1"/>
  <c r="A5108" i="1"/>
  <c r="D5108" i="1"/>
  <c r="A5109" i="1"/>
  <c r="D5109" i="1"/>
  <c r="A5110" i="1"/>
  <c r="D5110" i="1"/>
  <c r="A5111" i="1"/>
  <c r="D5111" i="1"/>
  <c r="A5112" i="1"/>
  <c r="D5112" i="1"/>
  <c r="A5113" i="1"/>
  <c r="D5113" i="1"/>
  <c r="A5114" i="1"/>
  <c r="D5114" i="1"/>
  <c r="A5115" i="1"/>
  <c r="D5115" i="1"/>
  <c r="A5116" i="1"/>
  <c r="D5116" i="1"/>
  <c r="A5117" i="1"/>
  <c r="D5117" i="1"/>
  <c r="A5118" i="1"/>
  <c r="D5118" i="1"/>
  <c r="A5119" i="1"/>
  <c r="D5119" i="1"/>
  <c r="A5120" i="1"/>
  <c r="D5120" i="1"/>
  <c r="A5121" i="1"/>
  <c r="D5121" i="1"/>
  <c r="A5122" i="1"/>
  <c r="D5122" i="1"/>
  <c r="A5123" i="1"/>
  <c r="D5123" i="1"/>
  <c r="A5124" i="1"/>
  <c r="D5124" i="1"/>
  <c r="A5125" i="1"/>
  <c r="D5125" i="1"/>
  <c r="A5126" i="1"/>
  <c r="D5126" i="1"/>
  <c r="A5127" i="1"/>
  <c r="D5127" i="1"/>
  <c r="A5128" i="1"/>
  <c r="D5128" i="1"/>
  <c r="A5129" i="1"/>
  <c r="D5129" i="1"/>
  <c r="A5130" i="1"/>
  <c r="D5130" i="1"/>
  <c r="A5131" i="1"/>
  <c r="D5131" i="1"/>
  <c r="A5132" i="1"/>
  <c r="D5132" i="1"/>
  <c r="A5133" i="1"/>
  <c r="D5133" i="1"/>
  <c r="A5134" i="1"/>
  <c r="D5134" i="1"/>
  <c r="A5135" i="1"/>
  <c r="D5135" i="1"/>
  <c r="A5136" i="1"/>
  <c r="D5136" i="1"/>
  <c r="A5137" i="1"/>
  <c r="D5137" i="1"/>
  <c r="A5138" i="1"/>
  <c r="D5138" i="1"/>
  <c r="A5139" i="1"/>
  <c r="D5139" i="1"/>
  <c r="A5140" i="1"/>
  <c r="D5140" i="1"/>
  <c r="A5141" i="1"/>
  <c r="D5141" i="1"/>
  <c r="A5142" i="1"/>
  <c r="D5142" i="1"/>
  <c r="A5143" i="1"/>
  <c r="D5143" i="1"/>
  <c r="A5144" i="1"/>
  <c r="D5144" i="1"/>
  <c r="A5145" i="1"/>
  <c r="D5145" i="1"/>
  <c r="A5146" i="1"/>
  <c r="D5146" i="1"/>
  <c r="A5147" i="1"/>
  <c r="D5147" i="1"/>
  <c r="A5148" i="1"/>
  <c r="D5148" i="1"/>
  <c r="A5149" i="1"/>
  <c r="D5149" i="1"/>
  <c r="A5150" i="1"/>
  <c r="D5150" i="1"/>
  <c r="A5151" i="1"/>
  <c r="D5151" i="1"/>
  <c r="A5152" i="1"/>
  <c r="D5152" i="1"/>
  <c r="A5153" i="1"/>
  <c r="D5153" i="1"/>
  <c r="A5154" i="1"/>
  <c r="D5154" i="1"/>
  <c r="A5155" i="1"/>
  <c r="D5155" i="1"/>
  <c r="A5156" i="1"/>
  <c r="D5156" i="1"/>
  <c r="A5157" i="1"/>
  <c r="D5157" i="1"/>
  <c r="A5158" i="1"/>
  <c r="D5158" i="1"/>
  <c r="A5159" i="1"/>
  <c r="D5159" i="1"/>
  <c r="A5160" i="1"/>
  <c r="D5160" i="1"/>
  <c r="A5161" i="1"/>
  <c r="D5161" i="1"/>
  <c r="A5162" i="1"/>
  <c r="D5162" i="1"/>
  <c r="A5163" i="1"/>
  <c r="D5163" i="1"/>
  <c r="A5164" i="1"/>
  <c r="D5164" i="1"/>
  <c r="A5165" i="1"/>
  <c r="D5165" i="1"/>
  <c r="A5166" i="1"/>
  <c r="D5166" i="1"/>
  <c r="A5167" i="1"/>
  <c r="D5167" i="1"/>
  <c r="A5168" i="1"/>
  <c r="D5168" i="1"/>
  <c r="A5169" i="1"/>
  <c r="D5169" i="1"/>
  <c r="A5170" i="1"/>
  <c r="D5170" i="1"/>
  <c r="A5171" i="1"/>
  <c r="D5171" i="1"/>
  <c r="A5172" i="1"/>
  <c r="D5172" i="1"/>
  <c r="A5173" i="1"/>
  <c r="D5173" i="1"/>
  <c r="A5174" i="1"/>
  <c r="D5174" i="1"/>
  <c r="A5175" i="1"/>
  <c r="D5175" i="1"/>
  <c r="A5176" i="1"/>
  <c r="D5176" i="1"/>
  <c r="A5177" i="1"/>
  <c r="D5177" i="1"/>
  <c r="A5178" i="1"/>
  <c r="D5178" i="1"/>
  <c r="A5179" i="1"/>
  <c r="D5179" i="1"/>
  <c r="A5180" i="1"/>
  <c r="D5180" i="1"/>
  <c r="A5181" i="1"/>
  <c r="D5181" i="1"/>
  <c r="A5182" i="1"/>
  <c r="D5182" i="1"/>
  <c r="A5183" i="1"/>
  <c r="D5183" i="1"/>
  <c r="A5184" i="1"/>
  <c r="D5184" i="1"/>
  <c r="A5185" i="1"/>
  <c r="D5185" i="1"/>
  <c r="A5186" i="1"/>
  <c r="D5186" i="1"/>
  <c r="A5187" i="1"/>
  <c r="D5187" i="1"/>
  <c r="A5188" i="1"/>
  <c r="D5188" i="1"/>
  <c r="A5189" i="1"/>
  <c r="D5189" i="1"/>
  <c r="A5190" i="1"/>
  <c r="D5190" i="1"/>
  <c r="A5191" i="1"/>
  <c r="D5191" i="1"/>
  <c r="A5192" i="1"/>
  <c r="D5192" i="1"/>
  <c r="A5193" i="1"/>
  <c r="D5193" i="1"/>
  <c r="A5194" i="1"/>
  <c r="D5194" i="1"/>
  <c r="A5195" i="1"/>
  <c r="D5195" i="1"/>
  <c r="A5196" i="1"/>
  <c r="D5196" i="1"/>
  <c r="A5197" i="1"/>
  <c r="D5197" i="1"/>
  <c r="A5198" i="1"/>
  <c r="D5198" i="1"/>
  <c r="A5199" i="1"/>
  <c r="D5199" i="1"/>
  <c r="A5200" i="1"/>
  <c r="D5200" i="1"/>
  <c r="A5201" i="1"/>
  <c r="D5201" i="1"/>
  <c r="A5202" i="1"/>
  <c r="D5202" i="1"/>
  <c r="A5203" i="1"/>
  <c r="D5203" i="1"/>
  <c r="A5204" i="1"/>
  <c r="D5204" i="1"/>
  <c r="A5205" i="1"/>
  <c r="D5205" i="1"/>
  <c r="A5206" i="1"/>
  <c r="D5206" i="1"/>
  <c r="A5207" i="1"/>
  <c r="D5207" i="1"/>
  <c r="A5208" i="1"/>
  <c r="D5208" i="1"/>
  <c r="A5209" i="1"/>
  <c r="D5209" i="1"/>
  <c r="A5210" i="1"/>
  <c r="D5210" i="1"/>
  <c r="A5211" i="1"/>
  <c r="D5211" i="1"/>
  <c r="A5212" i="1"/>
  <c r="D5212" i="1"/>
  <c r="A5213" i="1"/>
  <c r="D5213" i="1"/>
  <c r="A5214" i="1"/>
  <c r="D5214" i="1"/>
  <c r="A5215" i="1"/>
  <c r="D5215" i="1"/>
  <c r="A5216" i="1"/>
  <c r="D5216" i="1"/>
  <c r="A5217" i="1"/>
  <c r="D5217" i="1"/>
  <c r="A5218" i="1"/>
  <c r="D5218" i="1"/>
  <c r="A5219" i="1"/>
  <c r="D5219" i="1"/>
  <c r="A5220" i="1"/>
  <c r="D5220" i="1"/>
  <c r="A5221" i="1"/>
  <c r="D5221" i="1"/>
  <c r="A5222" i="1"/>
  <c r="D5222" i="1"/>
  <c r="A5223" i="1"/>
  <c r="D5223" i="1"/>
  <c r="A5224" i="1"/>
  <c r="D5224" i="1"/>
  <c r="A5225" i="1"/>
  <c r="D5225" i="1"/>
  <c r="A5226" i="1"/>
  <c r="D5226" i="1"/>
  <c r="A5227" i="1"/>
  <c r="D5227" i="1"/>
  <c r="A5228" i="1"/>
  <c r="D5228" i="1"/>
  <c r="A5229" i="1"/>
  <c r="D5229" i="1"/>
  <c r="A5230" i="1"/>
  <c r="D5230" i="1"/>
  <c r="A5231" i="1"/>
  <c r="D5231" i="1"/>
  <c r="A5232" i="1"/>
  <c r="D5232" i="1"/>
  <c r="A5233" i="1"/>
  <c r="D5233" i="1"/>
  <c r="A5234" i="1"/>
  <c r="D5234" i="1"/>
  <c r="A5235" i="1"/>
  <c r="D5235" i="1"/>
  <c r="A5236" i="1"/>
  <c r="D5236" i="1"/>
  <c r="A5237" i="1"/>
  <c r="D5237" i="1"/>
  <c r="A5238" i="1"/>
  <c r="D5238" i="1"/>
  <c r="A5239" i="1"/>
  <c r="D5239" i="1"/>
  <c r="A5240" i="1"/>
  <c r="D5240" i="1"/>
  <c r="A5241" i="1"/>
  <c r="D5241" i="1"/>
  <c r="A5242" i="1"/>
  <c r="D5242" i="1"/>
  <c r="A5243" i="1"/>
  <c r="D5243" i="1"/>
  <c r="A5244" i="1"/>
  <c r="D5244" i="1"/>
  <c r="A5245" i="1"/>
  <c r="D5245" i="1"/>
  <c r="A5246" i="1"/>
  <c r="D5246" i="1"/>
  <c r="A5247" i="1"/>
  <c r="D5247" i="1"/>
  <c r="A5248" i="1"/>
  <c r="D5248" i="1"/>
  <c r="A5249" i="1"/>
  <c r="D5249" i="1"/>
  <c r="A5250" i="1"/>
  <c r="D5250" i="1"/>
  <c r="A5251" i="1"/>
  <c r="D5251" i="1"/>
  <c r="A5252" i="1"/>
  <c r="D5252" i="1"/>
  <c r="A5253" i="1"/>
  <c r="D5253" i="1"/>
  <c r="A5254" i="1"/>
  <c r="D5254" i="1"/>
  <c r="A5255" i="1"/>
  <c r="D5255" i="1"/>
  <c r="A5256" i="1"/>
  <c r="D5256" i="1"/>
  <c r="A5257" i="1"/>
  <c r="D5257" i="1"/>
  <c r="A5258" i="1"/>
  <c r="D5258" i="1"/>
  <c r="A5259" i="1"/>
  <c r="D5259" i="1"/>
  <c r="A5260" i="1"/>
  <c r="D5260" i="1"/>
  <c r="A5261" i="1"/>
  <c r="D5261" i="1"/>
  <c r="A5262" i="1"/>
  <c r="D5262" i="1"/>
  <c r="A5263" i="1"/>
  <c r="D5263" i="1"/>
  <c r="A5264" i="1"/>
  <c r="D5264" i="1"/>
  <c r="A5265" i="1"/>
  <c r="D5265" i="1"/>
  <c r="A5266" i="1"/>
  <c r="D5266" i="1"/>
  <c r="A5267" i="1"/>
  <c r="D5267" i="1"/>
  <c r="A5268" i="1"/>
  <c r="D5268" i="1"/>
  <c r="A5269" i="1"/>
  <c r="D5269" i="1"/>
  <c r="A5270" i="1"/>
  <c r="D5270" i="1"/>
  <c r="A5271" i="1"/>
  <c r="D5271" i="1"/>
  <c r="A5272" i="1"/>
  <c r="D5272" i="1"/>
  <c r="A5273" i="1"/>
  <c r="D5273" i="1"/>
  <c r="A5274" i="1"/>
  <c r="D5274" i="1"/>
  <c r="A5275" i="1"/>
  <c r="D5275" i="1"/>
  <c r="A5276" i="1"/>
  <c r="D5276" i="1"/>
  <c r="A5277" i="1"/>
  <c r="D5277" i="1"/>
  <c r="A5278" i="1"/>
  <c r="D5278" i="1"/>
  <c r="A5279" i="1"/>
  <c r="D5279" i="1"/>
  <c r="A5280" i="1"/>
  <c r="D5280" i="1"/>
  <c r="A5281" i="1"/>
  <c r="D5281" i="1"/>
  <c r="A5282" i="1"/>
  <c r="D5282" i="1"/>
  <c r="A5283" i="1"/>
  <c r="D5283" i="1"/>
  <c r="A5284" i="1"/>
  <c r="D5284" i="1"/>
  <c r="A5285" i="1"/>
  <c r="D5285" i="1"/>
  <c r="A5286" i="1"/>
  <c r="D5286" i="1"/>
  <c r="A5287" i="1"/>
  <c r="D5287" i="1"/>
  <c r="A5288" i="1"/>
  <c r="D5288" i="1"/>
  <c r="A5289" i="1"/>
  <c r="D5289" i="1"/>
  <c r="A5290" i="1"/>
  <c r="D5290" i="1"/>
  <c r="A5291" i="1"/>
  <c r="D5291" i="1"/>
  <c r="A5292" i="1"/>
  <c r="D5292" i="1"/>
  <c r="A5293" i="1"/>
  <c r="D5293" i="1"/>
  <c r="A5294" i="1"/>
  <c r="D5294" i="1"/>
  <c r="A5295" i="1"/>
  <c r="D5295" i="1"/>
  <c r="A5296" i="1"/>
  <c r="D5296" i="1"/>
  <c r="A5297" i="1"/>
  <c r="D5297" i="1"/>
  <c r="A5298" i="1"/>
  <c r="D5298" i="1"/>
  <c r="A5299" i="1"/>
  <c r="D5299" i="1"/>
  <c r="A5300" i="1"/>
  <c r="D5300" i="1"/>
  <c r="A5301" i="1"/>
  <c r="D5301" i="1"/>
  <c r="A5302" i="1"/>
  <c r="D5302" i="1"/>
  <c r="A5303" i="1"/>
  <c r="D5303" i="1"/>
  <c r="A5304" i="1"/>
  <c r="D5304" i="1"/>
  <c r="A5305" i="1"/>
  <c r="D5305" i="1"/>
  <c r="A5306" i="1"/>
  <c r="D5306" i="1"/>
  <c r="A5307" i="1"/>
  <c r="D5307" i="1"/>
  <c r="A5308" i="1"/>
  <c r="D5308" i="1"/>
  <c r="A5309" i="1"/>
  <c r="D5309" i="1"/>
  <c r="A5310" i="1"/>
  <c r="D5310" i="1"/>
  <c r="A5311" i="1"/>
  <c r="D5311" i="1"/>
  <c r="A5312" i="1"/>
  <c r="D5312" i="1"/>
  <c r="A5313" i="1"/>
  <c r="D5313" i="1"/>
  <c r="A5314" i="1"/>
  <c r="D5314" i="1"/>
  <c r="A5315" i="1"/>
  <c r="D5315" i="1"/>
  <c r="A5316" i="1"/>
  <c r="D5316" i="1"/>
  <c r="A5317" i="1"/>
  <c r="D5317" i="1"/>
  <c r="A5318" i="1"/>
  <c r="D5318" i="1"/>
  <c r="A5319" i="1"/>
  <c r="D5319" i="1"/>
  <c r="A5320" i="1"/>
  <c r="D5320" i="1"/>
  <c r="A5321" i="1"/>
  <c r="D5321" i="1"/>
  <c r="A5322" i="1"/>
  <c r="D5322" i="1"/>
  <c r="A5323" i="1"/>
  <c r="D5323" i="1"/>
  <c r="A5324" i="1"/>
  <c r="D5324" i="1"/>
  <c r="A5325" i="1"/>
  <c r="D5325" i="1"/>
  <c r="A5326" i="1"/>
  <c r="D5326" i="1"/>
  <c r="A5327" i="1"/>
  <c r="D5327" i="1"/>
  <c r="A5328" i="1"/>
  <c r="D5328" i="1"/>
  <c r="A5329" i="1"/>
  <c r="D5329" i="1"/>
  <c r="A5330" i="1"/>
  <c r="D5330" i="1"/>
  <c r="A5331" i="1"/>
  <c r="D5331" i="1"/>
  <c r="A5332" i="1"/>
  <c r="D5332" i="1"/>
  <c r="A5333" i="1"/>
  <c r="D5333" i="1"/>
  <c r="A5334" i="1"/>
  <c r="D5334" i="1"/>
  <c r="A5335" i="1"/>
  <c r="D5335" i="1"/>
  <c r="A5336" i="1"/>
  <c r="D5336" i="1"/>
  <c r="A5337" i="1"/>
  <c r="D5337" i="1"/>
  <c r="A5338" i="1"/>
  <c r="D5338" i="1"/>
  <c r="A5339" i="1"/>
  <c r="D5339" i="1"/>
  <c r="A5340" i="1"/>
  <c r="D5340" i="1"/>
  <c r="A5341" i="1"/>
  <c r="D5341" i="1"/>
  <c r="A5342" i="1"/>
  <c r="D5342" i="1"/>
  <c r="A5343" i="1"/>
  <c r="D5343" i="1"/>
  <c r="A5344" i="1"/>
  <c r="D5344" i="1"/>
  <c r="A5345" i="1"/>
  <c r="D5345" i="1"/>
  <c r="A5346" i="1"/>
  <c r="D5346" i="1"/>
  <c r="A5347" i="1"/>
  <c r="D5347" i="1"/>
  <c r="A5348" i="1"/>
  <c r="D5348" i="1"/>
  <c r="A5349" i="1"/>
  <c r="D5349" i="1"/>
  <c r="A5350" i="1"/>
  <c r="D5350" i="1"/>
  <c r="A5351" i="1"/>
  <c r="D5351" i="1"/>
  <c r="A5352" i="1"/>
  <c r="D5352" i="1"/>
  <c r="A5353" i="1"/>
  <c r="D5353" i="1"/>
  <c r="A5354" i="1"/>
  <c r="D5354" i="1"/>
  <c r="A5355" i="1"/>
  <c r="D5355" i="1"/>
  <c r="A5356" i="1"/>
  <c r="D5356" i="1"/>
  <c r="A5357" i="1"/>
  <c r="D5357" i="1"/>
  <c r="A5358" i="1"/>
  <c r="D5358" i="1"/>
  <c r="A5359" i="1"/>
  <c r="D5359" i="1"/>
  <c r="A5360" i="1"/>
  <c r="D5360" i="1"/>
  <c r="A5361" i="1"/>
  <c r="D5361" i="1"/>
  <c r="A5362" i="1"/>
  <c r="D5362" i="1"/>
  <c r="A5363" i="1"/>
  <c r="D5363" i="1"/>
  <c r="A5364" i="1"/>
  <c r="D5364" i="1"/>
  <c r="A5365" i="1"/>
  <c r="D5365" i="1"/>
  <c r="A5366" i="1"/>
  <c r="D5366" i="1"/>
  <c r="A5367" i="1"/>
  <c r="D5367" i="1"/>
  <c r="A5368" i="1"/>
  <c r="D5368" i="1"/>
  <c r="A5369" i="1"/>
  <c r="D5369" i="1"/>
  <c r="A5370" i="1"/>
  <c r="D5370" i="1"/>
  <c r="A5371" i="1"/>
  <c r="D5371" i="1"/>
  <c r="A5372" i="1"/>
  <c r="D5372" i="1"/>
  <c r="A5373" i="1"/>
  <c r="D5373" i="1"/>
  <c r="A5374" i="1"/>
  <c r="D5374" i="1"/>
  <c r="A5375" i="1"/>
  <c r="D5375" i="1"/>
  <c r="A5376" i="1"/>
  <c r="D5376" i="1"/>
  <c r="A5377" i="1"/>
  <c r="D5377" i="1"/>
  <c r="A5378" i="1"/>
  <c r="D5378" i="1"/>
  <c r="A5379" i="1"/>
  <c r="D5379" i="1"/>
  <c r="A5380" i="1"/>
  <c r="D5380" i="1"/>
  <c r="A5381" i="1"/>
  <c r="D5381" i="1"/>
  <c r="A5382" i="1"/>
  <c r="D5382" i="1"/>
  <c r="A5383" i="1"/>
  <c r="D5383" i="1"/>
  <c r="A5384" i="1"/>
  <c r="D5384" i="1"/>
  <c r="A5385" i="1"/>
  <c r="D5385" i="1"/>
  <c r="A5386" i="1"/>
  <c r="D5386" i="1"/>
  <c r="A5387" i="1"/>
  <c r="D5387" i="1"/>
  <c r="A5388" i="1"/>
  <c r="D5388" i="1"/>
  <c r="A5389" i="1"/>
  <c r="D5389" i="1"/>
  <c r="A5390" i="1"/>
  <c r="D5390" i="1"/>
  <c r="A5391" i="1"/>
  <c r="D5391" i="1"/>
  <c r="A5392" i="1"/>
  <c r="D5392" i="1"/>
  <c r="A5393" i="1"/>
  <c r="D5393" i="1"/>
  <c r="A5394" i="1"/>
  <c r="D5394" i="1"/>
  <c r="A5395" i="1"/>
  <c r="D5395" i="1"/>
  <c r="A5396" i="1"/>
  <c r="D5396" i="1"/>
  <c r="A5397" i="1"/>
  <c r="D5397" i="1"/>
  <c r="A5398" i="1"/>
  <c r="D5398" i="1"/>
  <c r="A5399" i="1"/>
  <c r="D5399" i="1"/>
  <c r="A5400" i="1"/>
  <c r="D5400" i="1"/>
  <c r="A5401" i="1"/>
  <c r="D5401" i="1"/>
  <c r="A5402" i="1"/>
  <c r="D5402" i="1"/>
  <c r="A5403" i="1"/>
  <c r="D5403" i="1"/>
  <c r="A5404" i="1"/>
  <c r="D5404" i="1"/>
  <c r="A5405" i="1"/>
  <c r="D5405" i="1"/>
  <c r="A5406" i="1"/>
  <c r="D5406" i="1"/>
  <c r="A5407" i="1"/>
  <c r="D5407" i="1"/>
  <c r="A5408" i="1"/>
  <c r="D5408" i="1"/>
  <c r="A5409" i="1"/>
  <c r="D5409" i="1"/>
  <c r="A5410" i="1"/>
  <c r="D5410" i="1"/>
  <c r="A5411" i="1"/>
  <c r="D5411" i="1"/>
  <c r="A5412" i="1"/>
  <c r="D5412" i="1"/>
  <c r="A5413" i="1"/>
  <c r="D5413" i="1"/>
  <c r="A5414" i="1"/>
  <c r="D5414" i="1"/>
  <c r="A5415" i="1"/>
  <c r="D5415" i="1"/>
  <c r="A5416" i="1"/>
  <c r="D5416" i="1"/>
  <c r="A5417" i="1"/>
  <c r="D5417" i="1"/>
  <c r="A5418" i="1"/>
  <c r="D5418" i="1"/>
  <c r="A5419" i="1"/>
  <c r="D5419" i="1"/>
  <c r="A5420" i="1"/>
  <c r="D5420" i="1"/>
  <c r="A5421" i="1"/>
  <c r="D5421" i="1"/>
  <c r="A5422" i="1"/>
  <c r="D5422" i="1"/>
  <c r="A5423" i="1"/>
  <c r="D5423" i="1"/>
  <c r="A5424" i="1"/>
  <c r="D5424" i="1"/>
  <c r="A5425" i="1"/>
  <c r="D5425" i="1"/>
  <c r="A5426" i="1"/>
  <c r="D5426" i="1"/>
  <c r="A5427" i="1"/>
  <c r="D5427" i="1"/>
  <c r="A5428" i="1"/>
  <c r="D5428" i="1"/>
  <c r="A5429" i="1"/>
  <c r="D5429" i="1"/>
  <c r="A5430" i="1"/>
  <c r="D5430" i="1"/>
  <c r="A5431" i="1"/>
  <c r="D5431" i="1"/>
  <c r="A5432" i="1"/>
  <c r="D5432" i="1"/>
  <c r="A5433" i="1"/>
  <c r="D5433" i="1"/>
  <c r="A5434" i="1"/>
  <c r="D5434" i="1"/>
  <c r="A5435" i="1"/>
  <c r="D5435" i="1"/>
  <c r="A5436" i="1"/>
  <c r="D5436" i="1"/>
  <c r="A5437" i="1"/>
  <c r="D5437" i="1"/>
  <c r="A5438" i="1"/>
  <c r="D5438" i="1"/>
  <c r="A5439" i="1"/>
  <c r="D5439" i="1"/>
  <c r="A5440" i="1"/>
  <c r="D5440" i="1"/>
  <c r="A5441" i="1"/>
  <c r="D5441" i="1"/>
  <c r="A5442" i="1"/>
  <c r="D5442" i="1"/>
  <c r="A5443" i="1"/>
  <c r="D5443" i="1"/>
  <c r="A5444" i="1"/>
  <c r="D5444" i="1"/>
  <c r="A5445" i="1"/>
  <c r="D5445" i="1"/>
  <c r="A5446" i="1"/>
  <c r="D5446" i="1"/>
  <c r="A5447" i="1"/>
  <c r="D5447" i="1"/>
  <c r="A5448" i="1"/>
  <c r="D5448" i="1"/>
  <c r="A5449" i="1"/>
  <c r="D5449" i="1"/>
  <c r="A5450" i="1"/>
  <c r="D5450" i="1"/>
  <c r="A5451" i="1"/>
  <c r="D5451" i="1"/>
  <c r="A5452" i="1"/>
  <c r="D5452" i="1"/>
  <c r="A5453" i="1"/>
  <c r="D5453" i="1"/>
  <c r="A5454" i="1"/>
  <c r="D5454" i="1"/>
  <c r="A5455" i="1"/>
  <c r="D5455" i="1"/>
  <c r="A5456" i="1"/>
  <c r="D5456" i="1"/>
  <c r="A5457" i="1"/>
  <c r="D5457" i="1"/>
  <c r="A5458" i="1"/>
  <c r="D5458" i="1"/>
  <c r="A5459" i="1"/>
  <c r="D5459" i="1"/>
  <c r="A5460" i="1"/>
  <c r="D5460" i="1"/>
  <c r="A5461" i="1"/>
  <c r="D5461" i="1"/>
  <c r="A5462" i="1"/>
  <c r="D5462" i="1"/>
  <c r="A5463" i="1"/>
  <c r="D5463" i="1"/>
  <c r="A5464" i="1"/>
  <c r="D5464" i="1"/>
  <c r="A5465" i="1"/>
  <c r="D5465" i="1"/>
  <c r="A5466" i="1"/>
  <c r="D5466" i="1"/>
  <c r="A5467" i="1"/>
  <c r="D5467" i="1"/>
  <c r="A5468" i="1"/>
  <c r="D5468" i="1"/>
  <c r="A5469" i="1"/>
  <c r="D5469" i="1"/>
  <c r="A5470" i="1"/>
  <c r="D5470" i="1"/>
  <c r="A5471" i="1"/>
  <c r="D5471" i="1"/>
  <c r="A5472" i="1"/>
  <c r="D5472" i="1"/>
  <c r="A5473" i="1"/>
  <c r="D5473" i="1"/>
  <c r="A5474" i="1"/>
  <c r="D5474" i="1"/>
  <c r="A5475" i="1"/>
  <c r="D5475" i="1"/>
  <c r="A5476" i="1"/>
  <c r="D5476" i="1"/>
  <c r="A5477" i="1"/>
  <c r="D5477" i="1"/>
  <c r="A5478" i="1"/>
  <c r="D5478" i="1"/>
  <c r="A5479" i="1"/>
  <c r="D5479" i="1"/>
  <c r="A5480" i="1"/>
  <c r="D5480" i="1"/>
  <c r="A5481" i="1"/>
  <c r="D5481" i="1"/>
  <c r="A5482" i="1"/>
  <c r="D5482" i="1"/>
  <c r="A5483" i="1"/>
  <c r="D5483" i="1"/>
  <c r="A5484" i="1"/>
  <c r="D5484" i="1"/>
  <c r="A5485" i="1"/>
  <c r="D5485" i="1"/>
  <c r="A5486" i="1"/>
  <c r="D5486" i="1"/>
  <c r="A5487" i="1"/>
  <c r="D5487" i="1"/>
  <c r="A5488" i="1"/>
  <c r="D5488" i="1"/>
  <c r="A5489" i="1"/>
  <c r="D5489" i="1"/>
  <c r="A5490" i="1"/>
  <c r="D5490" i="1"/>
  <c r="A5491" i="1"/>
  <c r="D5491" i="1"/>
  <c r="A5492" i="1"/>
  <c r="D5492" i="1"/>
  <c r="A5493" i="1"/>
  <c r="D5493" i="1"/>
  <c r="A5494" i="1"/>
  <c r="D5494" i="1"/>
  <c r="A5495" i="1"/>
  <c r="D5495" i="1"/>
  <c r="A5496" i="1"/>
  <c r="D5496" i="1"/>
  <c r="A5497" i="1"/>
  <c r="D5497" i="1"/>
  <c r="A5498" i="1"/>
  <c r="D5498" i="1"/>
  <c r="A5499" i="1"/>
  <c r="D5499" i="1"/>
  <c r="A5500" i="1"/>
  <c r="D5500" i="1"/>
  <c r="A5501" i="1"/>
  <c r="D5501" i="1"/>
  <c r="A5502" i="1"/>
  <c r="D5502" i="1"/>
  <c r="A5503" i="1"/>
  <c r="D5503" i="1"/>
  <c r="A5504" i="1"/>
  <c r="D5504" i="1"/>
  <c r="A5505" i="1"/>
  <c r="D5505" i="1"/>
  <c r="A5506" i="1"/>
  <c r="D5506" i="1"/>
  <c r="A5507" i="1"/>
  <c r="D5507" i="1"/>
  <c r="A5508" i="1"/>
  <c r="D5508" i="1"/>
  <c r="A5509" i="1"/>
  <c r="D5509" i="1"/>
  <c r="A5510" i="1"/>
  <c r="D5510" i="1"/>
  <c r="A5511" i="1"/>
  <c r="D5511" i="1"/>
  <c r="A5512" i="1"/>
  <c r="D5512" i="1"/>
  <c r="A5513" i="1"/>
  <c r="D5513" i="1"/>
  <c r="A5514" i="1"/>
  <c r="D5514" i="1"/>
  <c r="A5515" i="1"/>
  <c r="D5515" i="1"/>
  <c r="A5516" i="1"/>
  <c r="D5516" i="1"/>
  <c r="A5517" i="1"/>
  <c r="D5517" i="1"/>
  <c r="A5518" i="1"/>
  <c r="D5518" i="1"/>
  <c r="A5519" i="1"/>
  <c r="D5519" i="1"/>
  <c r="A5520" i="1"/>
  <c r="D5520" i="1"/>
  <c r="A5521" i="1"/>
  <c r="D5521" i="1"/>
  <c r="A5522" i="1"/>
  <c r="D5522" i="1"/>
  <c r="A5523" i="1"/>
  <c r="D5523" i="1"/>
  <c r="A5524" i="1"/>
  <c r="D5524" i="1"/>
  <c r="A5525" i="1"/>
  <c r="D5525" i="1"/>
  <c r="A5526" i="1"/>
  <c r="D5526" i="1"/>
  <c r="A5527" i="1"/>
  <c r="D5527" i="1"/>
  <c r="A5528" i="1"/>
  <c r="D5528" i="1"/>
  <c r="A5529" i="1"/>
  <c r="D5529" i="1"/>
  <c r="A5530" i="1"/>
  <c r="D5530" i="1"/>
  <c r="A5531" i="1"/>
  <c r="D5531" i="1"/>
  <c r="A5532" i="1"/>
  <c r="D5532" i="1"/>
  <c r="A5533" i="1"/>
  <c r="D5533" i="1"/>
  <c r="A5534" i="1"/>
  <c r="D5534" i="1"/>
  <c r="A5535" i="1"/>
  <c r="D5535" i="1"/>
  <c r="A5536" i="1"/>
  <c r="D5536" i="1"/>
  <c r="A5537" i="1"/>
  <c r="D5537" i="1"/>
  <c r="A5538" i="1"/>
  <c r="D5538" i="1"/>
  <c r="A5539" i="1"/>
  <c r="D5539" i="1"/>
  <c r="A5540" i="1"/>
  <c r="D5540" i="1"/>
  <c r="A5541" i="1"/>
  <c r="D5541" i="1"/>
  <c r="A5542" i="1"/>
  <c r="D5542" i="1"/>
  <c r="A5543" i="1"/>
  <c r="D5543" i="1"/>
  <c r="A5544" i="1"/>
  <c r="D5544" i="1"/>
  <c r="A5545" i="1"/>
  <c r="D5545" i="1"/>
  <c r="A5546" i="1"/>
  <c r="D5546" i="1"/>
  <c r="A5547" i="1"/>
  <c r="D5547" i="1"/>
  <c r="A5548" i="1"/>
  <c r="D5548" i="1"/>
  <c r="A5549" i="1"/>
  <c r="D5549" i="1"/>
  <c r="A5550" i="1"/>
  <c r="D5550" i="1"/>
  <c r="A5551" i="1"/>
  <c r="D5551" i="1"/>
  <c r="A5552" i="1"/>
  <c r="D5552" i="1"/>
  <c r="A5553" i="1"/>
  <c r="D5553" i="1"/>
  <c r="A5554" i="1"/>
  <c r="D5554" i="1"/>
  <c r="A5555" i="1"/>
  <c r="D5555" i="1"/>
  <c r="A5556" i="1"/>
  <c r="D5556" i="1"/>
  <c r="A5557" i="1"/>
  <c r="D5557" i="1"/>
  <c r="A5558" i="1"/>
  <c r="D5558" i="1"/>
  <c r="A5559" i="1"/>
  <c r="D5559" i="1"/>
  <c r="A5560" i="1"/>
  <c r="D5560" i="1"/>
  <c r="A5561" i="1"/>
  <c r="D5561" i="1"/>
  <c r="A5562" i="1"/>
  <c r="D5562" i="1"/>
  <c r="A5563" i="1"/>
  <c r="D5563" i="1"/>
  <c r="A5564" i="1"/>
  <c r="D5564" i="1"/>
  <c r="A5565" i="1"/>
  <c r="D5565" i="1"/>
  <c r="A5566" i="1"/>
  <c r="D5566" i="1"/>
  <c r="A5567" i="1"/>
  <c r="D5567" i="1"/>
  <c r="A5568" i="1"/>
  <c r="D5568" i="1"/>
  <c r="A5569" i="1"/>
  <c r="D5569" i="1"/>
  <c r="A5570" i="1"/>
  <c r="D5570" i="1"/>
  <c r="A5571" i="1"/>
  <c r="D5571" i="1"/>
  <c r="A5572" i="1"/>
  <c r="D5572" i="1"/>
  <c r="A5573" i="1"/>
  <c r="D5573" i="1"/>
  <c r="A5574" i="1"/>
  <c r="D5574" i="1"/>
  <c r="A5575" i="1"/>
  <c r="D5575" i="1"/>
  <c r="A5576" i="1"/>
  <c r="D5576" i="1"/>
  <c r="A5577" i="1"/>
  <c r="D5577" i="1"/>
  <c r="A5578" i="1"/>
  <c r="D5578" i="1"/>
  <c r="A5579" i="1"/>
  <c r="D5579" i="1"/>
  <c r="A5580" i="1"/>
  <c r="D5580" i="1"/>
  <c r="A5581" i="1"/>
  <c r="D5581" i="1"/>
  <c r="A5582" i="1"/>
  <c r="D5582" i="1"/>
  <c r="A5583" i="1"/>
  <c r="D5583" i="1"/>
  <c r="A5584" i="1"/>
  <c r="D5584" i="1"/>
  <c r="A5585" i="1"/>
  <c r="D5585" i="1"/>
  <c r="A5586" i="1"/>
  <c r="D5586" i="1"/>
  <c r="A5587" i="1"/>
  <c r="D5587" i="1"/>
  <c r="A5588" i="1"/>
  <c r="D5588" i="1"/>
  <c r="A5589" i="1"/>
  <c r="D5589" i="1"/>
  <c r="A5590" i="1"/>
  <c r="D5590" i="1"/>
  <c r="A5591" i="1"/>
  <c r="D5591" i="1"/>
  <c r="A5592" i="1"/>
  <c r="D5592" i="1"/>
  <c r="A5593" i="1"/>
  <c r="D5593" i="1"/>
  <c r="A5594" i="1"/>
  <c r="D5594" i="1"/>
  <c r="A5595" i="1"/>
  <c r="D5595" i="1"/>
  <c r="A5596" i="1"/>
  <c r="D5596" i="1"/>
  <c r="A5597" i="1"/>
  <c r="D5597" i="1"/>
  <c r="A5598" i="1"/>
  <c r="D5598" i="1"/>
  <c r="A5599" i="1"/>
  <c r="D5599" i="1"/>
  <c r="A5600" i="1"/>
  <c r="D5600" i="1"/>
  <c r="A5601" i="1"/>
  <c r="D5601" i="1"/>
  <c r="A5602" i="1"/>
  <c r="D5602" i="1"/>
  <c r="A5603" i="1"/>
  <c r="D5603" i="1"/>
  <c r="A5604" i="1"/>
  <c r="D5604" i="1"/>
  <c r="A5605" i="1"/>
  <c r="D5605" i="1"/>
  <c r="A5606" i="1"/>
  <c r="D5606" i="1"/>
  <c r="A5607" i="1"/>
  <c r="D5607" i="1"/>
  <c r="A5608" i="1"/>
  <c r="D5608" i="1"/>
  <c r="A5609" i="1"/>
  <c r="D5609" i="1"/>
  <c r="A5610" i="1"/>
  <c r="D5610" i="1"/>
  <c r="A5611" i="1"/>
  <c r="D5611" i="1"/>
  <c r="A5612" i="1"/>
  <c r="D5612" i="1"/>
  <c r="A5613" i="1"/>
  <c r="D5613" i="1"/>
  <c r="A5614" i="1"/>
  <c r="D5614" i="1"/>
  <c r="A5615" i="1"/>
  <c r="D5615" i="1"/>
  <c r="A5616" i="1"/>
  <c r="D5616" i="1"/>
  <c r="A5617" i="1"/>
  <c r="D5617" i="1"/>
  <c r="A5618" i="1"/>
  <c r="D5618" i="1"/>
  <c r="A5619" i="1"/>
  <c r="D5619" i="1"/>
  <c r="A5620" i="1"/>
  <c r="D5620" i="1"/>
  <c r="A5621" i="1"/>
  <c r="D5621" i="1"/>
  <c r="A5622" i="1"/>
  <c r="D5622" i="1"/>
  <c r="A5623" i="1"/>
  <c r="D5623" i="1"/>
  <c r="A5624" i="1"/>
  <c r="D5624" i="1"/>
  <c r="A5625" i="1"/>
  <c r="D5625" i="1"/>
  <c r="A5626" i="1"/>
  <c r="D5626" i="1"/>
  <c r="A5627" i="1"/>
  <c r="D5627" i="1"/>
  <c r="A5628" i="1"/>
  <c r="D5628" i="1"/>
  <c r="A5629" i="1"/>
  <c r="D5629" i="1"/>
  <c r="A5630" i="1"/>
  <c r="D5630" i="1"/>
  <c r="A5631" i="1"/>
  <c r="D5631" i="1"/>
  <c r="A5632" i="1"/>
  <c r="D5632" i="1"/>
  <c r="A5633" i="1"/>
  <c r="D5633" i="1"/>
  <c r="A5634" i="1"/>
  <c r="D5634" i="1"/>
  <c r="A5635" i="1"/>
  <c r="D5635" i="1"/>
  <c r="A5636" i="1"/>
  <c r="D5636" i="1"/>
  <c r="A5637" i="1"/>
  <c r="D5637" i="1"/>
  <c r="A5638" i="1"/>
  <c r="D5638" i="1"/>
  <c r="A5639" i="1"/>
  <c r="D5639" i="1"/>
  <c r="A5640" i="1"/>
  <c r="D5640" i="1"/>
  <c r="A5641" i="1"/>
  <c r="D5641" i="1"/>
  <c r="A5642" i="1"/>
  <c r="D5642" i="1"/>
  <c r="A5643" i="1"/>
  <c r="D5643" i="1"/>
  <c r="A5644" i="1"/>
  <c r="D5644" i="1"/>
  <c r="A5645" i="1"/>
  <c r="D5645" i="1"/>
  <c r="A5646" i="1"/>
  <c r="D5646" i="1"/>
  <c r="A5647" i="1"/>
  <c r="D5647" i="1"/>
  <c r="A5648" i="1"/>
  <c r="D5648" i="1"/>
  <c r="A5649" i="1"/>
  <c r="D5649" i="1"/>
  <c r="A5650" i="1"/>
  <c r="D5650" i="1"/>
  <c r="A5651" i="1"/>
  <c r="D5651" i="1"/>
  <c r="A5652" i="1"/>
  <c r="D5652" i="1"/>
  <c r="A5653" i="1"/>
  <c r="D5653" i="1"/>
  <c r="A5654" i="1"/>
  <c r="D5654" i="1"/>
  <c r="A5655" i="1"/>
  <c r="D5655" i="1"/>
  <c r="A5656" i="1"/>
  <c r="D5656" i="1"/>
  <c r="A5657" i="1"/>
  <c r="D5657" i="1"/>
  <c r="A5658" i="1"/>
  <c r="D5658" i="1"/>
  <c r="A5659" i="1"/>
  <c r="D5659" i="1"/>
  <c r="A5660" i="1"/>
  <c r="D5660" i="1"/>
  <c r="A5661" i="1"/>
  <c r="D5661" i="1"/>
  <c r="A5662" i="1"/>
  <c r="D5662" i="1"/>
  <c r="A5663" i="1"/>
  <c r="D5663" i="1"/>
  <c r="A5664" i="1"/>
  <c r="D5664" i="1"/>
  <c r="A5665" i="1"/>
  <c r="D5665" i="1"/>
  <c r="A5666" i="1"/>
  <c r="D5666" i="1"/>
  <c r="A5667" i="1"/>
  <c r="D5667" i="1"/>
  <c r="A5668" i="1"/>
  <c r="D5668" i="1"/>
  <c r="A5669" i="1"/>
  <c r="D5669" i="1"/>
  <c r="A5670" i="1"/>
  <c r="D5670" i="1"/>
  <c r="A5671" i="1"/>
  <c r="D5671" i="1"/>
  <c r="A5672" i="1"/>
  <c r="D5672" i="1"/>
  <c r="A5673" i="1"/>
  <c r="D5673" i="1"/>
  <c r="A5674" i="1"/>
  <c r="D5674" i="1"/>
  <c r="A5675" i="1"/>
  <c r="D5675" i="1"/>
  <c r="A5676" i="1"/>
  <c r="D5676" i="1"/>
  <c r="A5677" i="1"/>
  <c r="D5677" i="1"/>
  <c r="A5678" i="1"/>
  <c r="D5678" i="1"/>
  <c r="A5679" i="1"/>
  <c r="D5679" i="1"/>
  <c r="A5680" i="1"/>
  <c r="D5680" i="1"/>
  <c r="A5681" i="1"/>
  <c r="D5681" i="1"/>
  <c r="A5682" i="1"/>
  <c r="D5682" i="1"/>
  <c r="A5683" i="1"/>
  <c r="D5683" i="1"/>
  <c r="A5684" i="1"/>
  <c r="D5684" i="1"/>
  <c r="A5685" i="1"/>
  <c r="D5685" i="1"/>
  <c r="A5686" i="1"/>
  <c r="D5686" i="1"/>
  <c r="A5687" i="1"/>
  <c r="D5687" i="1"/>
  <c r="A5688" i="1"/>
  <c r="D5688" i="1"/>
  <c r="A5689" i="1"/>
  <c r="D5689" i="1"/>
  <c r="A5690" i="1"/>
  <c r="D5690" i="1"/>
  <c r="A5691" i="1"/>
  <c r="D5691" i="1"/>
  <c r="A5692" i="1"/>
  <c r="D5692" i="1"/>
  <c r="A5693" i="1"/>
  <c r="D5693" i="1"/>
  <c r="A5694" i="1"/>
  <c r="D5694" i="1"/>
  <c r="A5695" i="1"/>
  <c r="D5695" i="1"/>
  <c r="A5696" i="1"/>
  <c r="D5696" i="1"/>
  <c r="A5697" i="1"/>
  <c r="D5697" i="1"/>
  <c r="A5698" i="1"/>
  <c r="D5698" i="1"/>
  <c r="A5699" i="1"/>
  <c r="D5699" i="1"/>
  <c r="A5700" i="1"/>
  <c r="D5700" i="1"/>
  <c r="A5701" i="1"/>
  <c r="D5701" i="1"/>
  <c r="A5702" i="1"/>
  <c r="D5702" i="1"/>
  <c r="A5703" i="1"/>
  <c r="D5703" i="1"/>
  <c r="A5704" i="1"/>
  <c r="D5704" i="1"/>
  <c r="A5705" i="1"/>
  <c r="D5705" i="1"/>
  <c r="A5706" i="1"/>
  <c r="D5706" i="1"/>
  <c r="A5707" i="1"/>
  <c r="D5707" i="1"/>
  <c r="A5708" i="1"/>
  <c r="D5708" i="1"/>
  <c r="A5709" i="1"/>
  <c r="D5709" i="1"/>
  <c r="A5710" i="1"/>
  <c r="D5710" i="1"/>
  <c r="A5711" i="1"/>
  <c r="D5711" i="1"/>
  <c r="A5712" i="1"/>
  <c r="D5712" i="1"/>
  <c r="A5713" i="1"/>
  <c r="D5713" i="1"/>
  <c r="A5714" i="1"/>
  <c r="D5714" i="1"/>
  <c r="A5715" i="1"/>
  <c r="D5715" i="1"/>
  <c r="A5716" i="1"/>
  <c r="D5716" i="1"/>
  <c r="A5717" i="1"/>
  <c r="D5717" i="1"/>
  <c r="A5718" i="1"/>
  <c r="D5718" i="1"/>
  <c r="A5719" i="1"/>
  <c r="D5719" i="1"/>
  <c r="A5720" i="1"/>
  <c r="D5720" i="1"/>
  <c r="A5721" i="1"/>
  <c r="D5721" i="1"/>
  <c r="A5722" i="1"/>
  <c r="D5722" i="1"/>
  <c r="A5723" i="1"/>
  <c r="D5723" i="1"/>
  <c r="A5724" i="1"/>
  <c r="D5724" i="1"/>
  <c r="A5725" i="1"/>
  <c r="D5725" i="1"/>
  <c r="A5726" i="1"/>
  <c r="D5726" i="1"/>
  <c r="A5727" i="1"/>
  <c r="D5727" i="1"/>
  <c r="A5728" i="1"/>
  <c r="D5728" i="1"/>
  <c r="A5729" i="1"/>
  <c r="D5729" i="1"/>
  <c r="A5730" i="1"/>
  <c r="D5730" i="1"/>
  <c r="A5731" i="1"/>
  <c r="D5731" i="1"/>
  <c r="A5732" i="1"/>
  <c r="D5732" i="1"/>
  <c r="A5733" i="1"/>
  <c r="D5733" i="1"/>
  <c r="A5734" i="1"/>
  <c r="D5734" i="1"/>
  <c r="A5735" i="1"/>
  <c r="D5735" i="1"/>
  <c r="A5736" i="1"/>
  <c r="D5736" i="1"/>
  <c r="A5737" i="1"/>
  <c r="D5737" i="1"/>
  <c r="A5738" i="1"/>
  <c r="D5738" i="1"/>
  <c r="A5739" i="1"/>
  <c r="D5739" i="1"/>
  <c r="A5740" i="1"/>
  <c r="D5740" i="1"/>
  <c r="A5741" i="1"/>
  <c r="D5741" i="1"/>
  <c r="A5742" i="1"/>
  <c r="D5742" i="1"/>
  <c r="A5743" i="1"/>
  <c r="D5743" i="1"/>
  <c r="A5744" i="1"/>
  <c r="D5744" i="1"/>
  <c r="A5745" i="1"/>
  <c r="D5745" i="1"/>
  <c r="A5746" i="1"/>
  <c r="D5746" i="1"/>
  <c r="A5747" i="1"/>
  <c r="D5747" i="1"/>
  <c r="A5748" i="1"/>
  <c r="D5748" i="1"/>
  <c r="A5749" i="1"/>
  <c r="D5749" i="1"/>
  <c r="A5750" i="1"/>
  <c r="D5750" i="1"/>
  <c r="A5751" i="1"/>
  <c r="D5751" i="1"/>
  <c r="A5752" i="1"/>
  <c r="D5752" i="1"/>
  <c r="A5753" i="1"/>
  <c r="D5753" i="1"/>
  <c r="A5754" i="1"/>
  <c r="D5754" i="1"/>
  <c r="A5755" i="1"/>
  <c r="D5755" i="1"/>
  <c r="A5756" i="1"/>
  <c r="D5756" i="1"/>
  <c r="A5757" i="1"/>
  <c r="D5757" i="1"/>
  <c r="A5758" i="1"/>
  <c r="D5758" i="1"/>
  <c r="A5759" i="1"/>
  <c r="D5759" i="1"/>
  <c r="A5760" i="1"/>
  <c r="D5760" i="1"/>
  <c r="A5761" i="1"/>
  <c r="D5761" i="1"/>
  <c r="A5762" i="1"/>
  <c r="D5762" i="1"/>
  <c r="A5763" i="1"/>
  <c r="D5763" i="1"/>
  <c r="A5764" i="1"/>
  <c r="D5764" i="1"/>
  <c r="A5765" i="1"/>
  <c r="D5765" i="1"/>
  <c r="A5766" i="1"/>
  <c r="D5766" i="1"/>
  <c r="A5767" i="1"/>
  <c r="D5767" i="1"/>
  <c r="A5768" i="1"/>
  <c r="D5768" i="1"/>
  <c r="A5769" i="1"/>
  <c r="D5769" i="1"/>
  <c r="A5770" i="1"/>
  <c r="D5770" i="1"/>
  <c r="A5771" i="1"/>
  <c r="D5771" i="1"/>
  <c r="A5772" i="1"/>
  <c r="D5772" i="1"/>
  <c r="A5773" i="1"/>
  <c r="D5773" i="1"/>
  <c r="A5774" i="1"/>
  <c r="D5774" i="1"/>
  <c r="A5775" i="1"/>
  <c r="D5775" i="1"/>
  <c r="A5776" i="1"/>
  <c r="D5776" i="1"/>
  <c r="A5777" i="1"/>
  <c r="D5777" i="1"/>
  <c r="A5778" i="1"/>
  <c r="D5778" i="1"/>
  <c r="A5779" i="1"/>
  <c r="D5779" i="1"/>
  <c r="A5780" i="1"/>
  <c r="D5780" i="1"/>
  <c r="A5781" i="1"/>
  <c r="D5781" i="1"/>
  <c r="A5782" i="1"/>
  <c r="D5782" i="1"/>
  <c r="A5783" i="1"/>
  <c r="D5783" i="1"/>
  <c r="A5784" i="1"/>
  <c r="D5784" i="1"/>
  <c r="A5785" i="1"/>
  <c r="D5785" i="1"/>
  <c r="A5786" i="1"/>
  <c r="D5786" i="1"/>
  <c r="A5787" i="1"/>
  <c r="D5787" i="1"/>
  <c r="A5788" i="1"/>
  <c r="D5788" i="1"/>
  <c r="A5789" i="1"/>
  <c r="D5789" i="1"/>
  <c r="A5790" i="1"/>
  <c r="D5790" i="1"/>
  <c r="A5791" i="1"/>
  <c r="D5791" i="1"/>
  <c r="A5792" i="1"/>
  <c r="D5792" i="1"/>
  <c r="A5793" i="1"/>
  <c r="D5793" i="1"/>
  <c r="A5794" i="1"/>
  <c r="D5794" i="1"/>
  <c r="A5795" i="1"/>
  <c r="D5795" i="1"/>
  <c r="A5796" i="1"/>
  <c r="D5796" i="1"/>
  <c r="A5797" i="1"/>
  <c r="D5797" i="1"/>
  <c r="A5798" i="1"/>
  <c r="D5798" i="1"/>
  <c r="A5799" i="1"/>
  <c r="D5799" i="1"/>
  <c r="A5800" i="1"/>
  <c r="D5800" i="1"/>
  <c r="A5801" i="1"/>
  <c r="D5801" i="1"/>
  <c r="A5802" i="1"/>
  <c r="D5802" i="1"/>
  <c r="A5803" i="1"/>
  <c r="D5803" i="1"/>
  <c r="A5804" i="1"/>
  <c r="D5804" i="1"/>
  <c r="A5805" i="1"/>
  <c r="D5805" i="1"/>
  <c r="A5806" i="1"/>
  <c r="D5806" i="1"/>
  <c r="A5807" i="1"/>
  <c r="D5807" i="1"/>
  <c r="A5808" i="1"/>
  <c r="D5808" i="1"/>
  <c r="A5809" i="1"/>
  <c r="D5809" i="1"/>
  <c r="A5810" i="1"/>
  <c r="D5810" i="1"/>
  <c r="A5811" i="1"/>
  <c r="D5811" i="1"/>
  <c r="A5812" i="1"/>
  <c r="D5812" i="1"/>
  <c r="A5813" i="1"/>
  <c r="D5813" i="1"/>
  <c r="A5814" i="1"/>
  <c r="D5814" i="1"/>
  <c r="A5815" i="1"/>
  <c r="D5815" i="1"/>
  <c r="A5816" i="1"/>
  <c r="D5816" i="1"/>
  <c r="A5817" i="1"/>
  <c r="D5817" i="1"/>
  <c r="A5818" i="1"/>
  <c r="D5818" i="1"/>
  <c r="A5819" i="1"/>
  <c r="D5819" i="1"/>
  <c r="A5820" i="1"/>
  <c r="D5820" i="1"/>
  <c r="A5821" i="1"/>
  <c r="D5821" i="1"/>
  <c r="A5822" i="1"/>
  <c r="D5822" i="1"/>
  <c r="A5823" i="1"/>
  <c r="D5823" i="1"/>
  <c r="A5824" i="1"/>
  <c r="D5824" i="1"/>
  <c r="A5825" i="1"/>
  <c r="D5825" i="1"/>
  <c r="A5826" i="1"/>
  <c r="D5826" i="1"/>
  <c r="A5827" i="1"/>
  <c r="D5827" i="1"/>
  <c r="A5828" i="1"/>
  <c r="D5828" i="1"/>
  <c r="A5829" i="1"/>
  <c r="D5829" i="1"/>
  <c r="A5830" i="1"/>
  <c r="D5830" i="1"/>
  <c r="A5831" i="1"/>
  <c r="D5831" i="1"/>
  <c r="A5832" i="1"/>
  <c r="D5832" i="1"/>
  <c r="A5833" i="1"/>
  <c r="D5833" i="1"/>
  <c r="A5834" i="1"/>
  <c r="D5834" i="1"/>
  <c r="A5835" i="1"/>
  <c r="D5835" i="1"/>
  <c r="A5836" i="1"/>
  <c r="D5836" i="1"/>
  <c r="A5837" i="1"/>
  <c r="D5837" i="1"/>
  <c r="A5838" i="1"/>
  <c r="D5838" i="1"/>
  <c r="A5839" i="1"/>
  <c r="D5839" i="1"/>
  <c r="A5840" i="1"/>
  <c r="D5840" i="1"/>
  <c r="A5841" i="1"/>
  <c r="D5841" i="1"/>
  <c r="A5842" i="1"/>
  <c r="D5842" i="1"/>
  <c r="A5843" i="1"/>
  <c r="D5843" i="1"/>
  <c r="A5844" i="1"/>
  <c r="D5844" i="1"/>
  <c r="A5845" i="1"/>
  <c r="D5845" i="1"/>
  <c r="A5846" i="1"/>
  <c r="D5846" i="1"/>
  <c r="A5847" i="1"/>
  <c r="D5847" i="1"/>
  <c r="A5848" i="1"/>
  <c r="D5848" i="1"/>
  <c r="A5849" i="1"/>
  <c r="D5849" i="1"/>
  <c r="A5850" i="1"/>
  <c r="D5850" i="1"/>
  <c r="A5851" i="1"/>
  <c r="D5851" i="1"/>
  <c r="A5852" i="1"/>
  <c r="D5852" i="1"/>
  <c r="A5853" i="1"/>
  <c r="D5853" i="1"/>
  <c r="A5854" i="1"/>
  <c r="D5854" i="1"/>
  <c r="A5855" i="1"/>
  <c r="D5855" i="1"/>
  <c r="A5856" i="1"/>
  <c r="D5856" i="1"/>
  <c r="A5857" i="1"/>
  <c r="D5857" i="1"/>
  <c r="A5858" i="1"/>
  <c r="D5858" i="1"/>
  <c r="A5859" i="1"/>
  <c r="D5859" i="1"/>
  <c r="A5860" i="1"/>
  <c r="D5860" i="1"/>
  <c r="A5861" i="1"/>
  <c r="D5861" i="1"/>
  <c r="A5862" i="1"/>
  <c r="D5862" i="1"/>
  <c r="A5863" i="1"/>
  <c r="D5863" i="1"/>
  <c r="A5864" i="1"/>
  <c r="D5864" i="1"/>
  <c r="A5865" i="1"/>
  <c r="D5865" i="1"/>
  <c r="A5866" i="1"/>
  <c r="D5866" i="1"/>
  <c r="A5867" i="1"/>
  <c r="D5867" i="1"/>
  <c r="A5868" i="1"/>
  <c r="D5868" i="1"/>
  <c r="A5869" i="1"/>
  <c r="D5869" i="1"/>
  <c r="A5870" i="1"/>
  <c r="D5870" i="1"/>
  <c r="A5871" i="1"/>
  <c r="D5871" i="1"/>
  <c r="A5872" i="1"/>
  <c r="D5872" i="1"/>
  <c r="A5873" i="1"/>
  <c r="D5873" i="1"/>
  <c r="A5874" i="1"/>
  <c r="D5874" i="1"/>
  <c r="A5875" i="1"/>
  <c r="D5875" i="1"/>
  <c r="A5876" i="1"/>
  <c r="D5876" i="1"/>
  <c r="A5877" i="1"/>
  <c r="D5877" i="1"/>
  <c r="A5878" i="1"/>
  <c r="D5878" i="1"/>
  <c r="A5879" i="1"/>
  <c r="D5879" i="1"/>
  <c r="A5880" i="1"/>
  <c r="D5880" i="1"/>
  <c r="A5881" i="1"/>
  <c r="D5881" i="1"/>
  <c r="A5882" i="1"/>
  <c r="D5882" i="1"/>
  <c r="A5883" i="1"/>
  <c r="D5883" i="1"/>
  <c r="A5884" i="1"/>
  <c r="D5884" i="1"/>
  <c r="A5885" i="1"/>
  <c r="D5885" i="1"/>
  <c r="A5886" i="1"/>
  <c r="D5886" i="1"/>
  <c r="A5887" i="1"/>
  <c r="D5887" i="1"/>
  <c r="A5888" i="1"/>
  <c r="D5888" i="1"/>
  <c r="A5889" i="1"/>
  <c r="D5889" i="1"/>
  <c r="A5890" i="1"/>
  <c r="D5890" i="1"/>
  <c r="A5891" i="1"/>
  <c r="D5891" i="1"/>
  <c r="A5892" i="1"/>
  <c r="D5892" i="1"/>
  <c r="A5893" i="1"/>
  <c r="D5893" i="1"/>
  <c r="A5894" i="1"/>
  <c r="D5894" i="1"/>
  <c r="A5895" i="1"/>
  <c r="D5895" i="1"/>
  <c r="A5896" i="1"/>
  <c r="D5896" i="1"/>
  <c r="A5897" i="1"/>
  <c r="D5897" i="1"/>
  <c r="A5898" i="1"/>
  <c r="D5898" i="1"/>
  <c r="A5899" i="1"/>
  <c r="D5899" i="1"/>
  <c r="A5900" i="1"/>
  <c r="D5900" i="1"/>
  <c r="A5901" i="1"/>
  <c r="D5901" i="1"/>
  <c r="A5902" i="1"/>
  <c r="D5902" i="1"/>
  <c r="A5903" i="1"/>
  <c r="D5903" i="1"/>
  <c r="A5904" i="1"/>
  <c r="D5904" i="1"/>
  <c r="A5905" i="1"/>
  <c r="D5905" i="1"/>
  <c r="A5906" i="1"/>
  <c r="D5906" i="1"/>
  <c r="A5907" i="1"/>
  <c r="D5907" i="1"/>
  <c r="A5908" i="1"/>
  <c r="D5908" i="1"/>
  <c r="A5909" i="1"/>
  <c r="D5909" i="1"/>
  <c r="A5910" i="1"/>
  <c r="D5910" i="1"/>
  <c r="A5911" i="1"/>
  <c r="D5911" i="1"/>
  <c r="A5912" i="1"/>
  <c r="D5912" i="1"/>
  <c r="A5913" i="1"/>
  <c r="D5913" i="1"/>
  <c r="A5914" i="1"/>
  <c r="D5914" i="1"/>
  <c r="A5915" i="1"/>
  <c r="D5915" i="1"/>
  <c r="A5916" i="1"/>
  <c r="D5916" i="1"/>
  <c r="A5917" i="1"/>
  <c r="D5917" i="1"/>
  <c r="A5918" i="1"/>
  <c r="D5918" i="1"/>
  <c r="A5919" i="1"/>
  <c r="D5919" i="1"/>
  <c r="A5920" i="1"/>
  <c r="D5920" i="1"/>
  <c r="A5921" i="1"/>
  <c r="D5921" i="1"/>
  <c r="A5922" i="1"/>
  <c r="D5922" i="1"/>
  <c r="A5923" i="1"/>
  <c r="D5923" i="1"/>
  <c r="A5924" i="1"/>
  <c r="D5924" i="1"/>
  <c r="A5925" i="1"/>
  <c r="D5925" i="1"/>
  <c r="A5926" i="1"/>
  <c r="D5926" i="1"/>
  <c r="A5927" i="1"/>
  <c r="D5927" i="1"/>
  <c r="A5928" i="1"/>
  <c r="D5928" i="1"/>
  <c r="A5929" i="1"/>
  <c r="D5929" i="1"/>
  <c r="A5930" i="1"/>
  <c r="D5930" i="1"/>
  <c r="A5931" i="1"/>
  <c r="D5931" i="1"/>
  <c r="A5932" i="1"/>
  <c r="D5932" i="1"/>
  <c r="A5933" i="1"/>
  <c r="D5933" i="1"/>
  <c r="A5934" i="1"/>
  <c r="D5934" i="1"/>
  <c r="A5935" i="1"/>
  <c r="D5935" i="1"/>
  <c r="A5936" i="1"/>
  <c r="D5936" i="1"/>
  <c r="A5937" i="1"/>
  <c r="D5937" i="1"/>
  <c r="A5938" i="1"/>
  <c r="D5938" i="1"/>
  <c r="A5939" i="1"/>
  <c r="D5939" i="1"/>
  <c r="A5940" i="1"/>
  <c r="D5940" i="1"/>
  <c r="A5941" i="1"/>
  <c r="D5941" i="1"/>
  <c r="A5942" i="1"/>
  <c r="D5942" i="1"/>
  <c r="A5943" i="1"/>
  <c r="D5943" i="1"/>
  <c r="A5944" i="1"/>
  <c r="D5944" i="1"/>
  <c r="A5945" i="1"/>
  <c r="D5945" i="1"/>
  <c r="A5946" i="1"/>
  <c r="D5946" i="1"/>
  <c r="A5947" i="1"/>
  <c r="D5947" i="1"/>
  <c r="A5948" i="1"/>
  <c r="D5948" i="1"/>
  <c r="A5949" i="1"/>
  <c r="D5949" i="1"/>
  <c r="A5950" i="1"/>
  <c r="D5950" i="1"/>
  <c r="A5951" i="1"/>
  <c r="D5951" i="1"/>
  <c r="A5952" i="1"/>
  <c r="D5952" i="1"/>
  <c r="A5953" i="1"/>
  <c r="D5953" i="1"/>
  <c r="A5954" i="1"/>
  <c r="D5954" i="1"/>
  <c r="A5955" i="1"/>
  <c r="D5955" i="1"/>
  <c r="A5956" i="1"/>
  <c r="D5956" i="1"/>
  <c r="A5957" i="1"/>
  <c r="D5957" i="1"/>
  <c r="A5958" i="1"/>
  <c r="D5958" i="1"/>
  <c r="A5959" i="1"/>
  <c r="D5959" i="1"/>
  <c r="A5960" i="1"/>
  <c r="D5960" i="1"/>
  <c r="A5961" i="1"/>
  <c r="D5961" i="1"/>
  <c r="A5962" i="1"/>
  <c r="D5962" i="1"/>
  <c r="A5963" i="1"/>
  <c r="D5963" i="1"/>
  <c r="A5964" i="1"/>
  <c r="D5964" i="1"/>
  <c r="A5965" i="1"/>
  <c r="D5965" i="1"/>
  <c r="A5966" i="1"/>
  <c r="D5966" i="1"/>
  <c r="A5967" i="1"/>
  <c r="D5967" i="1"/>
  <c r="A5968" i="1"/>
  <c r="D5968" i="1"/>
  <c r="A5969" i="1"/>
  <c r="D5969" i="1"/>
  <c r="A5970" i="1"/>
  <c r="D5970" i="1"/>
  <c r="A5971" i="1"/>
  <c r="D5971" i="1"/>
  <c r="A5972" i="1"/>
  <c r="D5972" i="1"/>
  <c r="A5973" i="1"/>
  <c r="D5973" i="1"/>
  <c r="A5974" i="1"/>
  <c r="D5974" i="1"/>
  <c r="A5975" i="1"/>
  <c r="D5975" i="1"/>
  <c r="A5976" i="1"/>
  <c r="D5976" i="1"/>
  <c r="A5977" i="1"/>
  <c r="D5977" i="1"/>
  <c r="A5978" i="1"/>
  <c r="D5978" i="1"/>
  <c r="A5979" i="1"/>
  <c r="D5979" i="1"/>
  <c r="A5980" i="1"/>
  <c r="D5980" i="1"/>
  <c r="A5981" i="1"/>
  <c r="D5981" i="1"/>
  <c r="A5982" i="1"/>
  <c r="D5982" i="1"/>
  <c r="A5983" i="1"/>
  <c r="D5983" i="1"/>
  <c r="A5984" i="1"/>
  <c r="D5984" i="1"/>
  <c r="A5985" i="1"/>
  <c r="D5985" i="1"/>
  <c r="A5986" i="1"/>
  <c r="D5986" i="1"/>
  <c r="A5987" i="1"/>
  <c r="D5987" i="1"/>
  <c r="A5988" i="1"/>
  <c r="D5988" i="1"/>
  <c r="A5989" i="1"/>
  <c r="D5989" i="1"/>
  <c r="A5990" i="1"/>
  <c r="D5990" i="1"/>
  <c r="A5991" i="1"/>
  <c r="D5991" i="1"/>
  <c r="A5992" i="1"/>
  <c r="D5992" i="1"/>
  <c r="A5993" i="1"/>
  <c r="D5993" i="1"/>
  <c r="A5994" i="1"/>
  <c r="D5994" i="1"/>
  <c r="A5995" i="1"/>
  <c r="D5995" i="1"/>
  <c r="A5996" i="1"/>
  <c r="D5996" i="1"/>
  <c r="A5997" i="1"/>
  <c r="D5997" i="1"/>
  <c r="A5998" i="1"/>
  <c r="D5998" i="1"/>
  <c r="A5999" i="1"/>
  <c r="D5999" i="1"/>
  <c r="A6000" i="1"/>
  <c r="D6000" i="1"/>
  <c r="A6001" i="1"/>
  <c r="D6001" i="1"/>
  <c r="A6002" i="1"/>
  <c r="D6002" i="1"/>
  <c r="A6003" i="1"/>
  <c r="D6003" i="1"/>
  <c r="A6004" i="1"/>
  <c r="D6004" i="1"/>
  <c r="A6005" i="1"/>
  <c r="D6005" i="1"/>
  <c r="A6006" i="1"/>
  <c r="D6006" i="1"/>
  <c r="A6007" i="1"/>
  <c r="D6007" i="1"/>
  <c r="A6008" i="1"/>
  <c r="D6008" i="1"/>
  <c r="A6009" i="1"/>
  <c r="D6009" i="1"/>
  <c r="A6010" i="1"/>
  <c r="D6010" i="1"/>
  <c r="A6011" i="1"/>
  <c r="D6011" i="1"/>
  <c r="A6012" i="1"/>
  <c r="D6012" i="1"/>
  <c r="A6013" i="1"/>
  <c r="D6013" i="1"/>
  <c r="A6014" i="1"/>
  <c r="D6014" i="1"/>
  <c r="A6015" i="1"/>
  <c r="D6015" i="1"/>
  <c r="A6016" i="1"/>
  <c r="D6016" i="1"/>
  <c r="A6017" i="1"/>
  <c r="D6017" i="1"/>
  <c r="A6018" i="1"/>
  <c r="D6018" i="1"/>
  <c r="A6019" i="1"/>
  <c r="D6019" i="1"/>
  <c r="A6020" i="1"/>
  <c r="D6020" i="1"/>
  <c r="A6021" i="1"/>
  <c r="D6021" i="1"/>
  <c r="A6022" i="1"/>
  <c r="D6022" i="1"/>
  <c r="A6023" i="1"/>
  <c r="D6023" i="1"/>
  <c r="A6024" i="1"/>
  <c r="D6024" i="1"/>
  <c r="A6025" i="1"/>
  <c r="D6025" i="1"/>
  <c r="A6026" i="1"/>
  <c r="D6026" i="1"/>
  <c r="A6027" i="1"/>
  <c r="D6027" i="1"/>
  <c r="A6028" i="1"/>
  <c r="D6028" i="1"/>
  <c r="A6029" i="1"/>
  <c r="D6029" i="1"/>
  <c r="A6030" i="1"/>
  <c r="D6030" i="1"/>
  <c r="A6031" i="1"/>
  <c r="D6031" i="1"/>
  <c r="A6032" i="1"/>
  <c r="D6032" i="1"/>
  <c r="A6033" i="1"/>
  <c r="D6033" i="1"/>
  <c r="A6034" i="1"/>
  <c r="D6034" i="1"/>
  <c r="A6035" i="1"/>
  <c r="D6035" i="1"/>
  <c r="A6036" i="1"/>
  <c r="D6036" i="1"/>
  <c r="A6037" i="1"/>
  <c r="D6037" i="1"/>
  <c r="A6038" i="1"/>
  <c r="D6038" i="1"/>
  <c r="A6039" i="1"/>
  <c r="D6039" i="1"/>
  <c r="A6040" i="1"/>
  <c r="D6040" i="1"/>
  <c r="A6041" i="1"/>
  <c r="D6041" i="1"/>
  <c r="A6042" i="1"/>
  <c r="D6042" i="1"/>
  <c r="A6043" i="1"/>
  <c r="D6043" i="1"/>
  <c r="A6044" i="1"/>
  <c r="D6044" i="1"/>
  <c r="A6045" i="1"/>
  <c r="D6045" i="1"/>
  <c r="A6046" i="1"/>
  <c r="D6046" i="1"/>
  <c r="A6047" i="1"/>
  <c r="D6047" i="1"/>
  <c r="A6048" i="1"/>
  <c r="D6048" i="1"/>
  <c r="A6049" i="1"/>
  <c r="D6049" i="1"/>
  <c r="A6050" i="1"/>
  <c r="D6050" i="1"/>
  <c r="A6051" i="1"/>
  <c r="D6051" i="1"/>
  <c r="A6052" i="1"/>
  <c r="D6052" i="1"/>
  <c r="A6053" i="1"/>
  <c r="D6053" i="1"/>
  <c r="A6054" i="1"/>
  <c r="D6054" i="1"/>
  <c r="A6055" i="1"/>
  <c r="D6055" i="1"/>
  <c r="A6056" i="1"/>
  <c r="D6056" i="1"/>
  <c r="A6057" i="1"/>
  <c r="D6057" i="1"/>
  <c r="A6058" i="1"/>
  <c r="D6058" i="1"/>
  <c r="A6059" i="1"/>
  <c r="D6059" i="1"/>
  <c r="A6060" i="1"/>
  <c r="D6060" i="1"/>
  <c r="A6061" i="1"/>
  <c r="D6061" i="1"/>
  <c r="A6062" i="1"/>
  <c r="D6062" i="1"/>
  <c r="A6063" i="1"/>
  <c r="D6063" i="1"/>
  <c r="A6064" i="1"/>
  <c r="D6064" i="1"/>
  <c r="A6065" i="1"/>
  <c r="D6065" i="1"/>
  <c r="A6066" i="1"/>
  <c r="D6066" i="1"/>
  <c r="A6067" i="1"/>
  <c r="D6067" i="1"/>
  <c r="A6068" i="1"/>
  <c r="D6068" i="1"/>
  <c r="A6069" i="1"/>
  <c r="D6069" i="1"/>
  <c r="A6070" i="1"/>
  <c r="D6070" i="1"/>
  <c r="A6071" i="1"/>
  <c r="D6071" i="1"/>
  <c r="A6072" i="1"/>
  <c r="D6072" i="1"/>
  <c r="A6073" i="1"/>
  <c r="D6073" i="1"/>
  <c r="A6074" i="1"/>
  <c r="D6074" i="1"/>
  <c r="A6075" i="1"/>
  <c r="D6075" i="1"/>
  <c r="A6076" i="1"/>
  <c r="D6076" i="1"/>
  <c r="A6077" i="1"/>
  <c r="D6077" i="1"/>
  <c r="A6078" i="1"/>
  <c r="D6078" i="1"/>
  <c r="A6079" i="1"/>
  <c r="D6079" i="1"/>
  <c r="A6080" i="1"/>
  <c r="D6080" i="1"/>
  <c r="A6081" i="1"/>
  <c r="D6081" i="1"/>
  <c r="A6082" i="1"/>
  <c r="D6082" i="1"/>
  <c r="A6083" i="1"/>
  <c r="D6083" i="1"/>
  <c r="A6084" i="1"/>
  <c r="D6084" i="1"/>
  <c r="A6085" i="1"/>
  <c r="D6085" i="1"/>
  <c r="A6086" i="1"/>
  <c r="D6086" i="1"/>
  <c r="A6087" i="1"/>
  <c r="D6087" i="1"/>
  <c r="A6088" i="1"/>
  <c r="D6088" i="1"/>
  <c r="A6089" i="1"/>
  <c r="D6089" i="1"/>
  <c r="A6090" i="1"/>
  <c r="D6090" i="1"/>
  <c r="A6091" i="1"/>
  <c r="D6091" i="1"/>
  <c r="A6092" i="1"/>
  <c r="D6092" i="1"/>
  <c r="A6093" i="1"/>
  <c r="D6093" i="1"/>
  <c r="A6094" i="1"/>
  <c r="D6094" i="1"/>
  <c r="A6095" i="1"/>
  <c r="D6095" i="1"/>
  <c r="A6096" i="1"/>
  <c r="D6096" i="1"/>
  <c r="A6097" i="1"/>
  <c r="D6097" i="1"/>
  <c r="A6098" i="1"/>
  <c r="D6098" i="1"/>
  <c r="A6099" i="1"/>
  <c r="D6099" i="1"/>
  <c r="A6100" i="1"/>
  <c r="D6100" i="1"/>
  <c r="A6101" i="1"/>
  <c r="D6101" i="1"/>
  <c r="A6102" i="1"/>
  <c r="D6102" i="1"/>
  <c r="A6103" i="1"/>
  <c r="D6103" i="1"/>
  <c r="A6104" i="1"/>
  <c r="D6104" i="1"/>
  <c r="A6105" i="1"/>
  <c r="D6105" i="1"/>
  <c r="A6106" i="1"/>
  <c r="D6106" i="1"/>
  <c r="A6107" i="1"/>
  <c r="D6107" i="1"/>
  <c r="A6108" i="1"/>
  <c r="D6108" i="1"/>
  <c r="A6109" i="1"/>
  <c r="D6109" i="1"/>
  <c r="A6110" i="1"/>
  <c r="D6110" i="1"/>
  <c r="A6111" i="1"/>
  <c r="D6111" i="1"/>
  <c r="A6112" i="1"/>
  <c r="D6112" i="1"/>
  <c r="A6113" i="1"/>
  <c r="D6113" i="1"/>
  <c r="A6114" i="1"/>
  <c r="D6114" i="1"/>
  <c r="A6115" i="1"/>
  <c r="D6115" i="1"/>
  <c r="A6116" i="1"/>
  <c r="D6116" i="1"/>
  <c r="A6117" i="1"/>
  <c r="D6117" i="1"/>
  <c r="A6118" i="1"/>
  <c r="D6118" i="1"/>
  <c r="A6119" i="1"/>
  <c r="D6119" i="1"/>
  <c r="A6120" i="1"/>
  <c r="D6120" i="1"/>
  <c r="A6121" i="1"/>
  <c r="D6121" i="1"/>
  <c r="A6122" i="1"/>
  <c r="D6122" i="1"/>
  <c r="A6123" i="1"/>
  <c r="D6123" i="1"/>
  <c r="A6124" i="1"/>
  <c r="D6124" i="1"/>
  <c r="A6125" i="1"/>
  <c r="D6125" i="1"/>
  <c r="A6126" i="1"/>
  <c r="D6126" i="1"/>
  <c r="A6127" i="1"/>
  <c r="D6127" i="1"/>
  <c r="A6128" i="1"/>
  <c r="D6128" i="1"/>
  <c r="A6129" i="1"/>
  <c r="D6129" i="1"/>
  <c r="A6130" i="1"/>
  <c r="D6130" i="1"/>
  <c r="A6131" i="1"/>
  <c r="D6131" i="1"/>
  <c r="A6132" i="1"/>
  <c r="D6132" i="1"/>
  <c r="A6133" i="1"/>
  <c r="D6133" i="1"/>
  <c r="A6134" i="1"/>
  <c r="D6134" i="1"/>
  <c r="A6135" i="1"/>
  <c r="D6135" i="1"/>
  <c r="A6136" i="1"/>
  <c r="D6136" i="1"/>
  <c r="A6137" i="1"/>
  <c r="D6137" i="1"/>
  <c r="A6138" i="1"/>
  <c r="D6138" i="1"/>
  <c r="A6139" i="1"/>
  <c r="D6139" i="1"/>
  <c r="A6140" i="1"/>
  <c r="D6140" i="1"/>
  <c r="A6141" i="1"/>
  <c r="D6141" i="1"/>
  <c r="A6142" i="1"/>
  <c r="D6142" i="1"/>
  <c r="A6143" i="1"/>
  <c r="D6143" i="1"/>
  <c r="A6144" i="1"/>
  <c r="D6144" i="1"/>
  <c r="A6145" i="1"/>
  <c r="D6145" i="1"/>
  <c r="A6146" i="1"/>
  <c r="D6146" i="1"/>
  <c r="A6147" i="1"/>
  <c r="D6147" i="1"/>
  <c r="A6148" i="1"/>
  <c r="D6148" i="1"/>
  <c r="A6149" i="1"/>
  <c r="D6149" i="1"/>
  <c r="A6150" i="1"/>
  <c r="D6150" i="1"/>
  <c r="A6151" i="1"/>
  <c r="D6151" i="1"/>
  <c r="A6152" i="1"/>
  <c r="D6152" i="1"/>
  <c r="A6153" i="1"/>
  <c r="D6153" i="1"/>
  <c r="A6154" i="1"/>
  <c r="D6154" i="1"/>
  <c r="A6155" i="1"/>
  <c r="D6155" i="1"/>
  <c r="A6156" i="1"/>
  <c r="D6156" i="1"/>
  <c r="A6157" i="1"/>
  <c r="D6157" i="1"/>
  <c r="A6158" i="1"/>
  <c r="D6158" i="1"/>
  <c r="A6159" i="1"/>
  <c r="D6159" i="1"/>
  <c r="A6160" i="1"/>
  <c r="D6160" i="1"/>
  <c r="A6161" i="1"/>
  <c r="D6161" i="1"/>
  <c r="A6162" i="1"/>
  <c r="D6162" i="1"/>
  <c r="A6163" i="1"/>
  <c r="D6163" i="1"/>
  <c r="A6164" i="1"/>
  <c r="D6164" i="1"/>
  <c r="A6165" i="1"/>
  <c r="D6165" i="1"/>
  <c r="A6166" i="1"/>
  <c r="D6166" i="1"/>
  <c r="A6167" i="1"/>
  <c r="D6167" i="1"/>
  <c r="A6168" i="1"/>
  <c r="D6168" i="1"/>
  <c r="A6169" i="1"/>
  <c r="D6169" i="1"/>
  <c r="A6170" i="1"/>
  <c r="D6170" i="1"/>
  <c r="A6171" i="1"/>
  <c r="D6171" i="1"/>
  <c r="A6172" i="1"/>
  <c r="D6172" i="1"/>
  <c r="A6173" i="1"/>
  <c r="D6173" i="1"/>
  <c r="A6174" i="1"/>
  <c r="D6174" i="1"/>
  <c r="A6175" i="1"/>
  <c r="D6175" i="1"/>
  <c r="A6176" i="1"/>
  <c r="D6176" i="1"/>
  <c r="A6177" i="1"/>
  <c r="D6177" i="1"/>
  <c r="A6178" i="1"/>
  <c r="D6178" i="1"/>
  <c r="A6179" i="1"/>
  <c r="D6179" i="1"/>
  <c r="A6180" i="1"/>
  <c r="D6180" i="1"/>
  <c r="A6181" i="1"/>
  <c r="D6181" i="1"/>
  <c r="A6182" i="1"/>
  <c r="D6182" i="1"/>
  <c r="A6183" i="1"/>
  <c r="D6183" i="1"/>
  <c r="A6184" i="1"/>
  <c r="D6184" i="1"/>
  <c r="A6185" i="1"/>
  <c r="D6185" i="1"/>
  <c r="A6186" i="1"/>
  <c r="D6186" i="1"/>
  <c r="A6187" i="1"/>
  <c r="D6187" i="1"/>
  <c r="A6188" i="1"/>
  <c r="D6188" i="1"/>
  <c r="A6189" i="1"/>
  <c r="D6189" i="1"/>
  <c r="A6190" i="1"/>
  <c r="D6190" i="1"/>
  <c r="A6191" i="1"/>
  <c r="D6191" i="1"/>
  <c r="A6192" i="1"/>
  <c r="D6192" i="1"/>
  <c r="A6193" i="1"/>
  <c r="D6193" i="1"/>
  <c r="A6194" i="1"/>
  <c r="D6194" i="1"/>
  <c r="A6195" i="1"/>
  <c r="D6195" i="1"/>
  <c r="A6196" i="1"/>
  <c r="D6196" i="1"/>
  <c r="A6197" i="1"/>
  <c r="D6197" i="1"/>
  <c r="A6198" i="1"/>
  <c r="D6198" i="1"/>
  <c r="A6199" i="1"/>
  <c r="D6199" i="1"/>
  <c r="A6200" i="1"/>
  <c r="D6200" i="1"/>
  <c r="A6201" i="1"/>
  <c r="D6201" i="1"/>
  <c r="A6202" i="1"/>
  <c r="D6202" i="1"/>
  <c r="A6203" i="1"/>
  <c r="D6203" i="1"/>
  <c r="A6204" i="1"/>
  <c r="D6204" i="1"/>
  <c r="A6205" i="1"/>
  <c r="D6205" i="1"/>
  <c r="A6206" i="1"/>
  <c r="D6206" i="1"/>
  <c r="A6207" i="1"/>
  <c r="D6207" i="1"/>
  <c r="A6208" i="1"/>
  <c r="D6208" i="1"/>
  <c r="A6209" i="1"/>
  <c r="D6209" i="1"/>
  <c r="A6210" i="1"/>
  <c r="D6210" i="1"/>
  <c r="A6211" i="1"/>
  <c r="D6211" i="1"/>
  <c r="A6212" i="1"/>
  <c r="D6212" i="1"/>
  <c r="A6213" i="1"/>
  <c r="D6213" i="1"/>
  <c r="A6214" i="1"/>
  <c r="D6214" i="1"/>
  <c r="A6215" i="1"/>
  <c r="D6215" i="1"/>
  <c r="A6216" i="1"/>
  <c r="D6216" i="1"/>
  <c r="A6217" i="1"/>
  <c r="D6217" i="1"/>
  <c r="A6218" i="1"/>
  <c r="D6218" i="1"/>
  <c r="A6219" i="1"/>
  <c r="D6219" i="1"/>
  <c r="A6220" i="1"/>
  <c r="D6220" i="1"/>
  <c r="A6221" i="1"/>
  <c r="D6221" i="1"/>
  <c r="A6222" i="1"/>
  <c r="D6222" i="1"/>
  <c r="A6223" i="1"/>
  <c r="D6223" i="1"/>
  <c r="A6224" i="1"/>
  <c r="D6224" i="1"/>
  <c r="A6225" i="1"/>
  <c r="D6225" i="1"/>
  <c r="A6226" i="1"/>
  <c r="D6226" i="1"/>
  <c r="A6227" i="1"/>
  <c r="D6227" i="1"/>
  <c r="A6228" i="1"/>
  <c r="D6228" i="1"/>
  <c r="A6229" i="1"/>
  <c r="D6229" i="1"/>
  <c r="A6230" i="1"/>
  <c r="D6230" i="1"/>
  <c r="A6231" i="1"/>
  <c r="D6231" i="1"/>
  <c r="A6232" i="1"/>
  <c r="D6232" i="1"/>
  <c r="A6233" i="1"/>
  <c r="D6233" i="1"/>
  <c r="A6234" i="1"/>
  <c r="D6234" i="1"/>
  <c r="A6235" i="1"/>
  <c r="D6235" i="1"/>
  <c r="A6236" i="1"/>
  <c r="D6236" i="1"/>
  <c r="A6237" i="1"/>
  <c r="D6237" i="1"/>
  <c r="A6238" i="1"/>
  <c r="D6238" i="1"/>
  <c r="A6239" i="1"/>
  <c r="D6239" i="1"/>
  <c r="A6240" i="1"/>
  <c r="D6240" i="1"/>
  <c r="A6241" i="1"/>
  <c r="D6241" i="1"/>
  <c r="A6242" i="1"/>
  <c r="D6242" i="1"/>
  <c r="A6243" i="1"/>
  <c r="D6243" i="1"/>
  <c r="A6244" i="1"/>
  <c r="D6244" i="1"/>
  <c r="A6245" i="1"/>
  <c r="D6245" i="1"/>
  <c r="A6246" i="1"/>
  <c r="D6246" i="1"/>
  <c r="A6247" i="1"/>
  <c r="D6247" i="1"/>
  <c r="A6248" i="1"/>
  <c r="D6248" i="1"/>
  <c r="A6249" i="1"/>
  <c r="D6249" i="1"/>
  <c r="A6250" i="1"/>
  <c r="D6250" i="1"/>
  <c r="A6251" i="1"/>
  <c r="D6251" i="1"/>
  <c r="A6252" i="1"/>
  <c r="D6252" i="1"/>
  <c r="A6253" i="1"/>
  <c r="D6253" i="1"/>
  <c r="A6254" i="1"/>
  <c r="D6254" i="1"/>
  <c r="A6255" i="1"/>
  <c r="D6255" i="1"/>
  <c r="A6256" i="1"/>
  <c r="D6256" i="1"/>
  <c r="A6257" i="1"/>
  <c r="D6257" i="1"/>
  <c r="A6258" i="1"/>
  <c r="D6258" i="1"/>
  <c r="A6259" i="1"/>
  <c r="D6259" i="1"/>
  <c r="A6260" i="1"/>
  <c r="D6260" i="1"/>
  <c r="A6261" i="1"/>
  <c r="D6261" i="1"/>
  <c r="A6262" i="1"/>
  <c r="D6262" i="1"/>
  <c r="A6263" i="1"/>
  <c r="D6263" i="1"/>
  <c r="A6264" i="1"/>
  <c r="D6264" i="1"/>
  <c r="A6265" i="1"/>
  <c r="D6265" i="1"/>
  <c r="A6266" i="1"/>
  <c r="D6266" i="1"/>
  <c r="A6267" i="1"/>
  <c r="D6267" i="1"/>
  <c r="A6268" i="1"/>
  <c r="D6268" i="1"/>
  <c r="A6269" i="1"/>
  <c r="D6269" i="1"/>
  <c r="A6270" i="1"/>
  <c r="D6270" i="1"/>
  <c r="A6271" i="1"/>
  <c r="D6271" i="1"/>
  <c r="A6272" i="1"/>
  <c r="D6272" i="1"/>
  <c r="A6273" i="1"/>
  <c r="D6273" i="1"/>
  <c r="A6274" i="1"/>
  <c r="D6274" i="1"/>
  <c r="A6275" i="1"/>
  <c r="D6275" i="1"/>
  <c r="A6276" i="1"/>
  <c r="D6276" i="1"/>
  <c r="A6277" i="1"/>
  <c r="D6277" i="1"/>
  <c r="A6278" i="1"/>
  <c r="D6278" i="1"/>
  <c r="A6279" i="1"/>
  <c r="D6279" i="1"/>
  <c r="A6280" i="1"/>
  <c r="D6280" i="1"/>
  <c r="A6281" i="1"/>
  <c r="D6281" i="1"/>
  <c r="A6282" i="1"/>
  <c r="D6282" i="1"/>
  <c r="A6283" i="1"/>
  <c r="D6283" i="1"/>
  <c r="A6284" i="1"/>
  <c r="D6284" i="1"/>
  <c r="A6285" i="1"/>
  <c r="D6285" i="1"/>
  <c r="A6286" i="1"/>
  <c r="D6286" i="1"/>
  <c r="A6287" i="1"/>
  <c r="D6287" i="1"/>
  <c r="A6288" i="1"/>
  <c r="D6288" i="1"/>
  <c r="A6289" i="1"/>
  <c r="D6289" i="1"/>
  <c r="A6290" i="1"/>
  <c r="D6290" i="1"/>
  <c r="A6291" i="1"/>
  <c r="D6291" i="1"/>
  <c r="A6292" i="1"/>
  <c r="D6292" i="1"/>
  <c r="A6293" i="1"/>
  <c r="D6293" i="1"/>
  <c r="A6294" i="1"/>
  <c r="D6294" i="1"/>
  <c r="A6295" i="1"/>
  <c r="D6295" i="1"/>
  <c r="A6296" i="1"/>
  <c r="D6296" i="1"/>
  <c r="A6297" i="1"/>
  <c r="D6297" i="1"/>
  <c r="A6298" i="1"/>
  <c r="D6298" i="1"/>
  <c r="A6299" i="1"/>
  <c r="D6299" i="1"/>
  <c r="A6300" i="1"/>
  <c r="D6300" i="1"/>
  <c r="A6301" i="1"/>
  <c r="D6301" i="1"/>
  <c r="A6302" i="1"/>
  <c r="D6302" i="1"/>
  <c r="A6303" i="1"/>
  <c r="D6303" i="1"/>
  <c r="A6304" i="1"/>
  <c r="D6304" i="1"/>
  <c r="A6305" i="1"/>
  <c r="D6305" i="1"/>
  <c r="A6306" i="1"/>
  <c r="D6306" i="1"/>
  <c r="A6307" i="1"/>
  <c r="D6307" i="1"/>
  <c r="A6308" i="1"/>
  <c r="D6308" i="1"/>
  <c r="A6309" i="1"/>
  <c r="D6309" i="1"/>
  <c r="A6310" i="1"/>
  <c r="D6310" i="1"/>
  <c r="A6311" i="1"/>
  <c r="D6311" i="1"/>
  <c r="A6312" i="1"/>
  <c r="D6312" i="1"/>
  <c r="A6313" i="1"/>
  <c r="D6313" i="1"/>
  <c r="A6314" i="1"/>
  <c r="D6314" i="1"/>
  <c r="A6315" i="1"/>
  <c r="D6315" i="1"/>
  <c r="A6316" i="1"/>
  <c r="D6316" i="1"/>
  <c r="A6317" i="1"/>
  <c r="D6317" i="1"/>
  <c r="A6318" i="1"/>
  <c r="D6318" i="1"/>
  <c r="A6319" i="1"/>
  <c r="D6319" i="1"/>
  <c r="A6320" i="1"/>
  <c r="D6320" i="1"/>
  <c r="A6321" i="1"/>
  <c r="D6321" i="1"/>
  <c r="A6322" i="1"/>
  <c r="D6322" i="1"/>
  <c r="A6323" i="1"/>
  <c r="D6323" i="1"/>
  <c r="A6324" i="1"/>
  <c r="D6324" i="1"/>
  <c r="A6325" i="1"/>
  <c r="D6325" i="1"/>
  <c r="A6326" i="1"/>
  <c r="D6326" i="1"/>
  <c r="A6327" i="1"/>
  <c r="D6327" i="1"/>
  <c r="A6328" i="1"/>
  <c r="D6328" i="1"/>
  <c r="A6329" i="1"/>
  <c r="D6329" i="1"/>
  <c r="A6330" i="1"/>
  <c r="D6330" i="1"/>
  <c r="A6331" i="1"/>
  <c r="D6331" i="1"/>
  <c r="A6332" i="1"/>
  <c r="D6332" i="1"/>
  <c r="A6333" i="1"/>
  <c r="D6333" i="1"/>
  <c r="A6334" i="1"/>
  <c r="D6334" i="1"/>
  <c r="A6335" i="1"/>
  <c r="D6335" i="1"/>
  <c r="A6336" i="1"/>
  <c r="D6336" i="1"/>
  <c r="A6337" i="1"/>
  <c r="D6337" i="1"/>
  <c r="A6338" i="1"/>
  <c r="D6338" i="1"/>
  <c r="A6339" i="1"/>
  <c r="D6339" i="1"/>
  <c r="A6340" i="1"/>
  <c r="D6340" i="1"/>
  <c r="A6341" i="1"/>
  <c r="D6341" i="1"/>
  <c r="A6342" i="1"/>
  <c r="D6342" i="1"/>
  <c r="A6343" i="1"/>
  <c r="D6343" i="1"/>
  <c r="A6344" i="1"/>
  <c r="D6344" i="1"/>
  <c r="A6345" i="1"/>
  <c r="D6345" i="1"/>
  <c r="A6346" i="1"/>
  <c r="D6346" i="1"/>
  <c r="A6347" i="1"/>
  <c r="D6347" i="1"/>
  <c r="A6348" i="1"/>
  <c r="D6348" i="1"/>
  <c r="A6349" i="1"/>
  <c r="D6349" i="1"/>
  <c r="A6350" i="1"/>
  <c r="D6350" i="1"/>
  <c r="A6351" i="1"/>
  <c r="D6351" i="1"/>
  <c r="A6352" i="1"/>
  <c r="D6352" i="1"/>
  <c r="A6353" i="1"/>
  <c r="D6353" i="1"/>
  <c r="A6354" i="1"/>
  <c r="D6354" i="1"/>
  <c r="A6355" i="1"/>
  <c r="D6355" i="1"/>
  <c r="A6356" i="1"/>
  <c r="D6356" i="1"/>
  <c r="A6357" i="1"/>
  <c r="D6357" i="1"/>
  <c r="A6358" i="1"/>
  <c r="D6358" i="1"/>
  <c r="A6359" i="1"/>
  <c r="D6359" i="1"/>
  <c r="A6360" i="1"/>
  <c r="D6360" i="1"/>
  <c r="A6361" i="1"/>
  <c r="D6361" i="1"/>
  <c r="A6362" i="1"/>
  <c r="D6362" i="1"/>
  <c r="A6363" i="1"/>
  <c r="D6363" i="1"/>
  <c r="A6364" i="1"/>
  <c r="D6364" i="1"/>
  <c r="A6365" i="1"/>
  <c r="D6365" i="1"/>
  <c r="A6366" i="1"/>
  <c r="D6366" i="1"/>
  <c r="A6367" i="1"/>
  <c r="D6367" i="1"/>
  <c r="A6368" i="1"/>
  <c r="D6368" i="1"/>
  <c r="A6369" i="1"/>
  <c r="D6369" i="1"/>
  <c r="A6370" i="1"/>
  <c r="D6370" i="1"/>
  <c r="A6371" i="1"/>
  <c r="D6371" i="1"/>
  <c r="A6372" i="1"/>
  <c r="D6372" i="1"/>
  <c r="A6373" i="1"/>
  <c r="D6373" i="1"/>
  <c r="A6374" i="1"/>
  <c r="D6374" i="1"/>
  <c r="A6375" i="1"/>
  <c r="D6375" i="1"/>
  <c r="A6376" i="1"/>
  <c r="D6376" i="1"/>
  <c r="A6377" i="1"/>
  <c r="D6377" i="1"/>
  <c r="A6378" i="1"/>
  <c r="D6378" i="1"/>
  <c r="A6379" i="1"/>
  <c r="D6379" i="1"/>
  <c r="A6380" i="1"/>
  <c r="D6380" i="1"/>
  <c r="A6381" i="1"/>
  <c r="D6381" i="1"/>
  <c r="A6382" i="1"/>
  <c r="D6382" i="1"/>
  <c r="A6383" i="1"/>
  <c r="D6383" i="1"/>
  <c r="A6384" i="1"/>
  <c r="D6384" i="1"/>
  <c r="A6385" i="1"/>
  <c r="D6385" i="1"/>
  <c r="A6386" i="1"/>
  <c r="D6386" i="1"/>
  <c r="A6387" i="1"/>
  <c r="D6387" i="1"/>
  <c r="A6388" i="1"/>
  <c r="D6388" i="1"/>
  <c r="A6389" i="1"/>
  <c r="D6389" i="1"/>
  <c r="A6390" i="1"/>
  <c r="D6390" i="1"/>
  <c r="A6391" i="1"/>
  <c r="D6391" i="1"/>
  <c r="A6392" i="1"/>
  <c r="D6392" i="1"/>
  <c r="A6393" i="1"/>
  <c r="D6393" i="1"/>
  <c r="A6394" i="1"/>
  <c r="D6394" i="1"/>
  <c r="A6395" i="1"/>
  <c r="D6395" i="1"/>
  <c r="A6396" i="1"/>
  <c r="D6396" i="1"/>
  <c r="A6397" i="1"/>
  <c r="D6397" i="1"/>
</calcChain>
</file>

<file path=xl/sharedStrings.xml><?xml version="1.0" encoding="utf-8"?>
<sst xmlns="http://schemas.openxmlformats.org/spreadsheetml/2006/main" count="25590" uniqueCount="6713">
  <si>
    <t>IČO</t>
  </si>
  <si>
    <t>Obchodní jméno/název</t>
  </si>
  <si>
    <t>Statistická právní forma (název)</t>
  </si>
  <si>
    <t>Obec (kód)</t>
  </si>
  <si>
    <t>Obec (název)</t>
  </si>
  <si>
    <t>Hlavní ekonomická činnost (CZ NACE) (název)</t>
  </si>
  <si>
    <t>Jezdecký oddíl HOBBY Albrechtice</t>
  </si>
  <si>
    <t>Spolek</t>
  </si>
  <si>
    <t>Albrechtice v Jizerských horách</t>
  </si>
  <si>
    <t>Provozování sportovních zařízení</t>
  </si>
  <si>
    <t>Naše Albrechtice</t>
  </si>
  <si>
    <t>Činnosti ostatních organizací sdružujících osoby za účelem prosazování společných zájmů j. n.</t>
  </si>
  <si>
    <t>Poláci v Česku a Češi v Polsku z.s.</t>
  </si>
  <si>
    <t>Činnosti ostatních organizací j. n.</t>
  </si>
  <si>
    <t>SH ČMS - Sbor dobrovolných hasičů Albrechtice v Jizerských horách</t>
  </si>
  <si>
    <t>Pobočný spolek</t>
  </si>
  <si>
    <t>Činnosti v oblasti protipožární ochrany</t>
  </si>
  <si>
    <t>spolek Jizerské Albrechtice</t>
  </si>
  <si>
    <t>Činnosti environmentálních a ekologických hnutí</t>
  </si>
  <si>
    <t>Základní organizace DETOA s.r.o. Albrechtice v J.H</t>
  </si>
  <si>
    <t>Odborová organizace</t>
  </si>
  <si>
    <t>Činnosti odborových svazů</t>
  </si>
  <si>
    <t>BEDŘICHOVÁCI z.s.</t>
  </si>
  <si>
    <t>Bedřichov</t>
  </si>
  <si>
    <t>Evropský knižní spolek, v likvidaci</t>
  </si>
  <si>
    <t>Folio Verso, občanské sdružení</t>
  </si>
  <si>
    <t>KL, z.ú.</t>
  </si>
  <si>
    <t>Ústav</t>
  </si>
  <si>
    <t>Martina z. s.</t>
  </si>
  <si>
    <t>Činnosti organizací na podporu rekreační a zájmové činnosti</t>
  </si>
  <si>
    <t>Sbor dobrovolných hasičů Bedřichov</t>
  </si>
  <si>
    <t>Spolek horských vůdců Jizerské Hory</t>
  </si>
  <si>
    <t>Spolek pro záchranu sjezdového lyžování v Bedřichově, z.s.</t>
  </si>
  <si>
    <t>Hančův sportovní klub Benecko z.s.</t>
  </si>
  <si>
    <t>Benecko</t>
  </si>
  <si>
    <t>Činnosti sportovních klubů</t>
  </si>
  <si>
    <t>Honební společenstvo Benecko - Štěpanice</t>
  </si>
  <si>
    <t>Honební společenstvo</t>
  </si>
  <si>
    <t>Lov a odchyt divokých zvířat a související činnosti</t>
  </si>
  <si>
    <t>MOST KE VZDĚLÁNÍ - BRIDGE TO EDUCATION, z.s.</t>
  </si>
  <si>
    <t>Ostatní vzdělávání</t>
  </si>
  <si>
    <t>Myslivecký spolek BENECKO POD ŽALÝM</t>
  </si>
  <si>
    <t>Římskokatolická farnost Horní Štěpanice</t>
  </si>
  <si>
    <t>Evidované církevní právnické osoby</t>
  </si>
  <si>
    <t>Činnosti náboženských organizací</t>
  </si>
  <si>
    <t>Římskokatolická farnost Křížlice</t>
  </si>
  <si>
    <t>Římskokatolická farnost Vítkovice v Krkonoších</t>
  </si>
  <si>
    <t>Sdružení pro rozvoj cestovního ruchu na Benecku a okolí, z.s.</t>
  </si>
  <si>
    <t>SH ČMS - Sbor dobrovolných hasičů Benecko</t>
  </si>
  <si>
    <t>SH ČMS - Sbor dobrovolných hasičů Dolní Štěpanice</t>
  </si>
  <si>
    <t>SH ČMS - Sbor dobrovolných hasičů Horní Štěpanice</t>
  </si>
  <si>
    <t>Spolek pro Dolní Štěpanice</t>
  </si>
  <si>
    <t>Tělocvičná jednota Sokol Benecko</t>
  </si>
  <si>
    <t>Junior Cyclocross Team o.s. v likvidaci</t>
  </si>
  <si>
    <t>Benešov u Semil</t>
  </si>
  <si>
    <t>KČT, odbor Benešov u Semil</t>
  </si>
  <si>
    <t>Klub českých turistů Benešov u Semil</t>
  </si>
  <si>
    <t>KULTURNÍCI z. s.</t>
  </si>
  <si>
    <t>Podpůrné činnosti pro scénická umění</t>
  </si>
  <si>
    <t>MÍSTNÍ ORGANIZACE ODBOROVÉHO SDRUŽENÍ ČECH, MORAVY, SLEZSKA SEMILY</t>
  </si>
  <si>
    <t>SH ČMS - Sbor dobrovolných hasičů Benešov u Semil</t>
  </si>
  <si>
    <t>Spolek BKS</t>
  </si>
  <si>
    <t>Ostatní sportovní činnosti</t>
  </si>
  <si>
    <t>Tělocvičná jednota Sokol Benešov u Semil</t>
  </si>
  <si>
    <t>TJ Benešov u Semil, z.s.</t>
  </si>
  <si>
    <t>Sportovní činnosti</t>
  </si>
  <si>
    <t>Veřejná lyžařská škola Semily, z.s.</t>
  </si>
  <si>
    <t>Honební společenstvo Bělá pod Bezdězem</t>
  </si>
  <si>
    <t>Bezděz</t>
  </si>
  <si>
    <t>JK CARVA, z.s.</t>
  </si>
  <si>
    <t>Klub veteránů Bezděz v AČR</t>
  </si>
  <si>
    <t>SH ČMS - Sbor dobrovolných hasičů Bezděz</t>
  </si>
  <si>
    <t>Klub přátel Kokořínska, z. s.</t>
  </si>
  <si>
    <t>Blatce</t>
  </si>
  <si>
    <t>Myslivecký spolek Beškov - Blatce</t>
  </si>
  <si>
    <t>Pšovka - okrašlovací spolek Kokořínska</t>
  </si>
  <si>
    <t>Soukromý klub cyklistů v Blatcích</t>
  </si>
  <si>
    <t>Universal Tourism Center o.p.s.</t>
  </si>
  <si>
    <t>Obecně prospěšná společnost</t>
  </si>
  <si>
    <t>Poradenství v oblasti řízení</t>
  </si>
  <si>
    <t>FK BLÍŽEVEDLY, o.s.</t>
  </si>
  <si>
    <t>Blíževedly</t>
  </si>
  <si>
    <t>Honební společenstvo Blíževedly</t>
  </si>
  <si>
    <t>Honební společenstvo Kravaře</t>
  </si>
  <si>
    <t>MYSLIVECKÉ SDRUŽENÍ RONOV-BLÍŽEVEDLY o.s.</t>
  </si>
  <si>
    <t>Naše Blíževedly, z. s.</t>
  </si>
  <si>
    <t>Sportovní klub Blíževedly z.s.</t>
  </si>
  <si>
    <t>TJ Sokol Blíževedly</t>
  </si>
  <si>
    <t>"Bohatice proti těžbě", z.s.</t>
  </si>
  <si>
    <t>Bohatice</t>
  </si>
  <si>
    <t>EDUvet.cz z.s.</t>
  </si>
  <si>
    <t>GOGLMOGL produktion, z. s.</t>
  </si>
  <si>
    <t>ZOO FARMA Bohatice, z.s.</t>
  </si>
  <si>
    <t>Činnosti botanických a zoologických zahrad</t>
  </si>
  <si>
    <t>AUTOKLUB BOZKOV</t>
  </si>
  <si>
    <t>Bozkov</t>
  </si>
  <si>
    <t>Česká speleologická společnost, základní organizace 5-01, Bozkov</t>
  </si>
  <si>
    <t>HONEBNÍ SPOLEČENSTVO BOZKOV</t>
  </si>
  <si>
    <t>Kulturní a sportovní Bozkov z.s.</t>
  </si>
  <si>
    <t>Matice bozkovská, z. s.</t>
  </si>
  <si>
    <t>Motosport Bozkov, z.s.</t>
  </si>
  <si>
    <t>Myslivecký spolek Bozkov</t>
  </si>
  <si>
    <t>Náboženská obec Církve československé husitské v Bozkově</t>
  </si>
  <si>
    <t>Řeholní dům Misionářů Matky Boží z La Saletty v Bozkově</t>
  </si>
  <si>
    <t>Římskokatolická farnost Bozkov</t>
  </si>
  <si>
    <t>Římskokatolická farnost Paseky nad Jizerou</t>
  </si>
  <si>
    <t>Římskokatolická farnost Zlatá Olešnice</t>
  </si>
  <si>
    <t>SH ČMS - Sbor dobrovolných hasičů Bozkov</t>
  </si>
  <si>
    <t>Tělocvičná jednota Sokol Bozkov</t>
  </si>
  <si>
    <t>SH ČMS - Sbor dobrovolných hasičů Bradlecká Lhota</t>
  </si>
  <si>
    <t>Bradlecká Lhota</t>
  </si>
  <si>
    <t>TJ Sokol Bradlecká Lhota, z.s.</t>
  </si>
  <si>
    <t>Český kynologický svaz ZKO Brniště - 1040</t>
  </si>
  <si>
    <t>Brniště</t>
  </si>
  <si>
    <t>ČSS, z.s. - sportovně střelecký klub Brniště</t>
  </si>
  <si>
    <t>ČSS, z.s. - SSK Naděje Brniště</t>
  </si>
  <si>
    <t>FK Brniště z.s.</t>
  </si>
  <si>
    <t>Honební společenstvo Brniště</t>
  </si>
  <si>
    <t>"Hornický spolek UD HAMR z.s."</t>
  </si>
  <si>
    <t>Jezdecký klub Grešl Brniště</t>
  </si>
  <si>
    <t>JP2009 Kravaře, o.s.</t>
  </si>
  <si>
    <t>Luhováci, z.s.</t>
  </si>
  <si>
    <t>Myslivecký spolek Diana Brniště</t>
  </si>
  <si>
    <t>Podralský nadační fond ZOD</t>
  </si>
  <si>
    <t>Nadační fond</t>
  </si>
  <si>
    <t>Pro Tlustec, z.s.</t>
  </si>
  <si>
    <t>Sbor Bratrské jednoty baptistů v Brništi</t>
  </si>
  <si>
    <t>Sdružení rodičů při ZŠ Brniště</t>
  </si>
  <si>
    <t>SH ČMS - Sbor dobrovolných hasičů Brniště</t>
  </si>
  <si>
    <t>Spolek žen "EVA"</t>
  </si>
  <si>
    <t>Sportovní klub Brniště</t>
  </si>
  <si>
    <t>ST Brniště z.s.</t>
  </si>
  <si>
    <t>Železniční spolek Trojlístek</t>
  </si>
  <si>
    <t>SH ČMS - Sbor dobrovolných hasičů Bukovina u Čisté</t>
  </si>
  <si>
    <t>Bukovina u Čisté</t>
  </si>
  <si>
    <t>Amaro suno - feder dživipen, z.s.</t>
  </si>
  <si>
    <t>Bulovka</t>
  </si>
  <si>
    <t>Činnosti organizací na ochranu a zlepšení postavení etnických, menšinových a jiných speciálních skupin</t>
  </si>
  <si>
    <t>Barbucha z. s.</t>
  </si>
  <si>
    <t>Činnosti organizací dětí a mládeže</t>
  </si>
  <si>
    <t>Myslivecké sdružení Oldříš Tisovec</t>
  </si>
  <si>
    <t>Myslivecký spolek Bulovka</t>
  </si>
  <si>
    <t>Občanské sdružení BULOVKA</t>
  </si>
  <si>
    <t>Odborová organizace Odbory Zaměstnanců Plastikářských Technologií</t>
  </si>
  <si>
    <t>REPROK</t>
  </si>
  <si>
    <t>„S(C)hody“</t>
  </si>
  <si>
    <t>SH ČMS - Sbor dobrovolných hasičů Bulovka</t>
  </si>
  <si>
    <t>Spolek Terra Viva Dolní Oldřiš</t>
  </si>
  <si>
    <t>TISOVEC</t>
  </si>
  <si>
    <t>TJ Sokol Bulovka, z.s.</t>
  </si>
  <si>
    <t>Trojmezí, z.s.</t>
  </si>
  <si>
    <t>SH ČMS - Sbor dobrovolných hasičů Bystrá nad Jizerou</t>
  </si>
  <si>
    <t>Bystrá nad Jizerou</t>
  </si>
  <si>
    <t>TJ Bystrá nad Jizerou, z.s</t>
  </si>
  <si>
    <t>FK Bílá, z.s.</t>
  </si>
  <si>
    <t>Bílá</t>
  </si>
  <si>
    <t>Honební společenstvo Bílá</t>
  </si>
  <si>
    <t>Honební společenstvo Bílá - Hradčany</t>
  </si>
  <si>
    <t>Honební společenstvo Bílá - Petrašovice</t>
  </si>
  <si>
    <t>Klub Hrošíci, z.ú.</t>
  </si>
  <si>
    <t>Poskytování ostatních osobních služeb j. n.</t>
  </si>
  <si>
    <t>LeGeLi z.ú.</t>
  </si>
  <si>
    <t>Myslivecké sdružení Petrašovice, z.s.</t>
  </si>
  <si>
    <t>Myslivecký spolek Bílá</t>
  </si>
  <si>
    <t>Myslivecký spolek Hradčany</t>
  </si>
  <si>
    <t>REP z.s.</t>
  </si>
  <si>
    <t>SH ČMS -  Sbor dobrovolných hasičů Petrašovice</t>
  </si>
  <si>
    <t>SH ČMS - Sbor dobrovolných hasičů Bílá</t>
  </si>
  <si>
    <t>SH ČMS - Sbor dobrovolných hasičů Chvalčovice</t>
  </si>
  <si>
    <t>SH ČMS - Sbor dobrovolných hasičů Hradčany</t>
  </si>
  <si>
    <t>SH ČMS - Sbor dobrovolných hasičů Trávníček</t>
  </si>
  <si>
    <t>SH ČMS - Sbor dobrovolných hasičů Vlčetín</t>
  </si>
  <si>
    <t>Tělocvičná jednota Sokol Bílá</t>
  </si>
  <si>
    <t>Všeobecný Podještědský spolek, destinační společnost, z.s.</t>
  </si>
  <si>
    <t>Zazpívejme si z. s.</t>
  </si>
  <si>
    <t>Dostihová dráha chrtů Kolín z.s.</t>
  </si>
  <si>
    <t>Bílý Kostel nad Nisou</t>
  </si>
  <si>
    <t>Honební společenstvo Bílý Kostel nad Nisou</t>
  </si>
  <si>
    <t>Klub chovatelů psů Liberec, z.s.</t>
  </si>
  <si>
    <t>Klub maminek</t>
  </si>
  <si>
    <t>MS Hubert Rynoltice</t>
  </si>
  <si>
    <t>Myslivecký spolek Bílý Kostel nad Nisou</t>
  </si>
  <si>
    <t>Nadační fond Pomoc v nouzi Liberecko</t>
  </si>
  <si>
    <t>Ostatní ambulantní nebo terénní sociální služby j. n.</t>
  </si>
  <si>
    <t>Pomoc v nouzi Liberecko, z.s.</t>
  </si>
  <si>
    <t>Přátelé Bábina plácku z. s.</t>
  </si>
  <si>
    <t>Přátelé z Bílého Kostela o.s.</t>
  </si>
  <si>
    <t>Sdružení pro obec Bílý Kostel nad Nisou a osadu Pekařka</t>
  </si>
  <si>
    <t>SH ČMS - Sbor dobrovolných hasičů Bílý Kostel nad Nisou</t>
  </si>
  <si>
    <t>TJ TATRAN Bílý Kostel nad Nisou, z.s.</t>
  </si>
  <si>
    <t>Bílý Potok veselejší, z.s.</t>
  </si>
  <si>
    <t>Bílý Potok</t>
  </si>
  <si>
    <t>Educa Roma, z. s.</t>
  </si>
  <si>
    <t>"Horní Smědá, z.s."</t>
  </si>
  <si>
    <t>Jizerčani z. s.</t>
  </si>
  <si>
    <t>JIZERSKOHORSKÉ TECHNICKÉ MUZEUM, z.s.</t>
  </si>
  <si>
    <t>Rodičům a dětem o.s.</t>
  </si>
  <si>
    <t>SH ČMS - Sbor dobrovolných hasičů Bílý Potok</t>
  </si>
  <si>
    <t>SK Bílý Potok z. s.</t>
  </si>
  <si>
    <t>Zvelebení kostela Nejsvětější Trojice v Bílém Potoce, z.s.</t>
  </si>
  <si>
    <t>Mountain Racing Team z. s.</t>
  </si>
  <si>
    <t>Bělá</t>
  </si>
  <si>
    <t>SH ČMS - Sbor dobrovolných hasičů Bělá u Libštátu</t>
  </si>
  <si>
    <t>SK Jívan Bělá, z.s.</t>
  </si>
  <si>
    <t>SH ČMS - Sbor dobrovolných hasičů Cetenov - Hrubý Lesnov</t>
  </si>
  <si>
    <t>Cetenov</t>
  </si>
  <si>
    <t>Spolek historického vodovodu Těšnov</t>
  </si>
  <si>
    <t>Honební společenstvo Chlum</t>
  </si>
  <si>
    <t>Chlum</t>
  </si>
  <si>
    <t>Myslivecká společnost Chlum - Střelecký vrch</t>
  </si>
  <si>
    <t>Myslivecký spolek Chlum-Šedina</t>
  </si>
  <si>
    <t>Obnova památek-Památky severních Čech v likvidaci</t>
  </si>
  <si>
    <t>Spolek Přátel Chlumu u Dubé</t>
  </si>
  <si>
    <t>Spolek za záchranu kostela sv. Mikuláše v Drchlavě, z.s.</t>
  </si>
  <si>
    <t>ZO OS STAVBA ČR při EUROVIA Kamenolomy, a.s. provoz Chlum</t>
  </si>
  <si>
    <t>Chotovický pařez, z.s.</t>
  </si>
  <si>
    <t>Chotovice</t>
  </si>
  <si>
    <t>Chotovický železniční spolek ROTUNDA o.s.</t>
  </si>
  <si>
    <t>Arterra, z.s.</t>
  </si>
  <si>
    <t>Chotyně</t>
  </si>
  <si>
    <t>Autoklub Hrádek nad Nisou v AČR</t>
  </si>
  <si>
    <t>J.M.L.</t>
  </si>
  <si>
    <t>Místní akční skupina Hrádecko - Chrastavsko</t>
  </si>
  <si>
    <t>Myslivecký spolek Chotyně, z.s.</t>
  </si>
  <si>
    <t>SH ČMS - Sbor dobrovolných hasičů Chotyně</t>
  </si>
  <si>
    <t>Spolek rodičů ZŠ Chotyně</t>
  </si>
  <si>
    <t>Spolek Svaz žen Chotyně</t>
  </si>
  <si>
    <t>Tělocvičná jednota Sokol Chotyně</t>
  </si>
  <si>
    <t>Autoklub Carwin sport AČR</t>
  </si>
  <si>
    <t>Chrastava</t>
  </si>
  <si>
    <t>AVZO TSČ ČR p. s. CHRASTAVA</t>
  </si>
  <si>
    <t>Chrastavská Víska, z.s.</t>
  </si>
  <si>
    <t>Cimbál, z.s.</t>
  </si>
  <si>
    <t>Curia Vitkov, z.s.</t>
  </si>
  <si>
    <t>"Česká asociace geocachingu, z.s."</t>
  </si>
  <si>
    <t>Česká stromolezecká společnost, z. s.</t>
  </si>
  <si>
    <t>Český kynologický svaz ZKO Chrastava - 429</t>
  </si>
  <si>
    <t>Český rybářský svaz, z. s., místní organizace Chrastava</t>
  </si>
  <si>
    <t>Český svaz chovatelů, z.s., Základní organizace Chrastava</t>
  </si>
  <si>
    <t>ČSS, z.s. - sportovně střelecký klub Chrastava</t>
  </si>
  <si>
    <t>Dětská skupina Dobroduše, z.s.</t>
  </si>
  <si>
    <t>Euroregionální svaz chovatelů</t>
  </si>
  <si>
    <t>Florbal Liberec, z.s. v likvidaci</t>
  </si>
  <si>
    <t>GAUDIUM - občanské sdružení pro rozvoj dalšího vzdělávání</t>
  </si>
  <si>
    <t>Golf Club Grabštejn z.s.</t>
  </si>
  <si>
    <t>HáeSko z. s.</t>
  </si>
  <si>
    <t>Honební společenstvo Chrastava-Vítkov</t>
  </si>
  <si>
    <t>Jezdecká společnost Vysoká, z.s.</t>
  </si>
  <si>
    <t>Klub amerického fotbalu Highlanders</t>
  </si>
  <si>
    <t>Klub českých turistů, odbor Chrastava</t>
  </si>
  <si>
    <t>Klub rodičů při mateřské škole se sídlem Luční ul. 661, Chrastava</t>
  </si>
  <si>
    <t>Klub záškolák z.s.</t>
  </si>
  <si>
    <t>"Kryštofáci"</t>
  </si>
  <si>
    <t>Loudátova 245 a 246 CHR</t>
  </si>
  <si>
    <t>Pronájem a správa vlastních nebo pronajatých nemovitostí</t>
  </si>
  <si>
    <t>Miniškolka Letadélko z. s.</t>
  </si>
  <si>
    <t>modelářský klub Delfín Chrastava p.s</t>
  </si>
  <si>
    <t>Modelářský klub Liberec p.s.</t>
  </si>
  <si>
    <t>Motoklub Chrastava v AČR</t>
  </si>
  <si>
    <t>M&amp;P Support, z.s.</t>
  </si>
  <si>
    <t>Myslivecký spolek  Petrovice v Lužických horách</t>
  </si>
  <si>
    <t>Myslivecký spolek Kohoutí Vrch Vítkov</t>
  </si>
  <si>
    <t>"Občanské sdružení Osada Vysoká"</t>
  </si>
  <si>
    <t>Občanské sdružení pro Chrastavu</t>
  </si>
  <si>
    <t>Orientační klub Chrastava, z.s.</t>
  </si>
  <si>
    <t>Podještědský klub historických vozidel z.s.</t>
  </si>
  <si>
    <t>Přátelé TOLMU z. s.</t>
  </si>
  <si>
    <t>Přístav 3V, z.ú.</t>
  </si>
  <si>
    <t>Ambulantní nebo terénní sociální služby pro seniory a osoby se zdravotním postižením</t>
  </si>
  <si>
    <t>ROSCH - Romské občanské sdružení Chrastava</t>
  </si>
  <si>
    <t>Sbor Jednoty bratrské v Chrastavě</t>
  </si>
  <si>
    <t>Sdružení Chrastavských Romů</t>
  </si>
  <si>
    <t>Sdružení zahrádkářů Višňovka</t>
  </si>
  <si>
    <t>SH ČMS - Sbor dobrovolných hasičů Chrastava</t>
  </si>
  <si>
    <t>Společenství vlastníků jednotek domu 378 Lipová ul., Chrastava</t>
  </si>
  <si>
    <t>Společnost přátel historie města Chrastavy z.s.</t>
  </si>
  <si>
    <t>SPOLEK HISTORY-FEST</t>
  </si>
  <si>
    <t>Spolek občanů Horní Chrastava</t>
  </si>
  <si>
    <t>Sportovní klub FIX</t>
  </si>
  <si>
    <t>SVÍTÁNÍ Horní Vítkov</t>
  </si>
  <si>
    <t>Šance zvířatům, z.s.</t>
  </si>
  <si>
    <t>„Šneček, rodinné centrum pro děti se zdravotním postižením,o.s.”</t>
  </si>
  <si>
    <t>Tělocvičná jednota Sokol Chrastava</t>
  </si>
  <si>
    <t>Tenisový club Andělská hora-Chrastava</t>
  </si>
  <si>
    <t>TJ Spartak Chrastava, spolek</t>
  </si>
  <si>
    <t>Umíme si pomáhat, z.s.</t>
  </si>
  <si>
    <t>UNIE RODIČŮ ČR - sdružení při MŠ se spec. třídami Chrastava v likvidaci</t>
  </si>
  <si>
    <t>Ústav pro zachování strojírenského, řemeslného a inženýrského odkazu Andělská Hora, z.ú.</t>
  </si>
  <si>
    <t>Veřejně prospěšný spolek Anaon</t>
  </si>
  <si>
    <t>Vysoká-Svoboda</t>
  </si>
  <si>
    <t>Základní organizace Českého zahrádkářského svazu Chrastava</t>
  </si>
  <si>
    <t>Základní organizace odborového svazu pracovníků školství při Výchovném ústavu pro děti a mládež v Chrastavě</t>
  </si>
  <si>
    <t>Základní organizace odborového svazu pracovníků školství při Základní škole nám. 1.máje</t>
  </si>
  <si>
    <t>ZO OS KOVO BENTELER Klášterec nad Ohří</t>
  </si>
  <si>
    <t>AVZO ČR ZO VODNÍ SPORTY SEMILY v likvidaci</t>
  </si>
  <si>
    <t>Chuchelna</t>
  </si>
  <si>
    <t>Fotbal dětí Semily z.s.</t>
  </si>
  <si>
    <t>Motorsport Chuchelna, z.s.</t>
  </si>
  <si>
    <t>MS Slap z.s.</t>
  </si>
  <si>
    <t>SH ČMS - Sbor dobrovolných hasičů Chuchelna</t>
  </si>
  <si>
    <t>Tělocvičná jednota Sokol Chuchelna</t>
  </si>
  <si>
    <t>AUTO KLUB CVIKOV V AČR v likvidaci</t>
  </si>
  <si>
    <t>Cvikov</t>
  </si>
  <si>
    <t>AUTOKLUB CVIKOV</t>
  </si>
  <si>
    <t>Culture movement z. s.</t>
  </si>
  <si>
    <t>Český kynologický svaz ZKO Cvikov - 054</t>
  </si>
  <si>
    <t>Český rybářský svaz, z. s., místní organizace Cvikov</t>
  </si>
  <si>
    <t>Český svaz včelařů, z.s., základní organizace Cvikov</t>
  </si>
  <si>
    <t>DĚTSKÁ ZAHRADA</t>
  </si>
  <si>
    <t>DONAR-výchovná pomoc mládeži s poruchami chování</t>
  </si>
  <si>
    <t>FABRIKA - Cvikov o.s.</t>
  </si>
  <si>
    <t>FBK Česká Lípa</t>
  </si>
  <si>
    <t>FK - Cvikov, z.s.</t>
  </si>
  <si>
    <t>HC Cvikov z.s.</t>
  </si>
  <si>
    <t>Honební společenstvo Kunratice-Lindava</t>
  </si>
  <si>
    <t>Klíč - spolek invalidů Cvikov, z.s.</t>
  </si>
  <si>
    <t>Klidný venkov</t>
  </si>
  <si>
    <t>Klub přátel netradičních kol Cvikov, z. s.</t>
  </si>
  <si>
    <t>KOALA KLUB, z.s.</t>
  </si>
  <si>
    <t>LINDAVA.NET</t>
  </si>
  <si>
    <t>Lusatia consort, z.s.</t>
  </si>
  <si>
    <t>MOO OS TOK CVIKOV</t>
  </si>
  <si>
    <t>Myslivecký spolek Ortel, z.s.</t>
  </si>
  <si>
    <t>Myslivecký spolek vlastníků pozemků Svitava</t>
  </si>
  <si>
    <t>Nadační fond CHIROPTERA</t>
  </si>
  <si>
    <t>Nadace</t>
  </si>
  <si>
    <t>Ambulantní nebo terénní sociální služby</t>
  </si>
  <si>
    <t>Novoborské ochotnické prozatímní obrozenecké divadlo, z. s. (NOPOĎ z. s.)</t>
  </si>
  <si>
    <t>Scénická umění</t>
  </si>
  <si>
    <t>Poskytovatelé lékárenské péče z. s.</t>
  </si>
  <si>
    <t>Real Bohemian Beers, z.s.</t>
  </si>
  <si>
    <t>Římskokatolická farnost Cvikov</t>
  </si>
  <si>
    <t>Římskokatolická farnost Krompach</t>
  </si>
  <si>
    <t>Římskokatolická farnost Kunratice u Cvikova</t>
  </si>
  <si>
    <t>Římskokatolická farnost Lindava</t>
  </si>
  <si>
    <t>Sbor Bratrské jednoty baptistů v Cvikově</t>
  </si>
  <si>
    <t>Sedliště 4x4, z.s.</t>
  </si>
  <si>
    <t>SH ČMS - Sbor dobrovolných hasičů Cvikov</t>
  </si>
  <si>
    <t>SHŠ Garde, z. s.</t>
  </si>
  <si>
    <t>SK Cvikov,z.s.</t>
  </si>
  <si>
    <t>Skupina historického šermu Cvikovští žoldnéři</t>
  </si>
  <si>
    <t>Skupina Historického Šermu REBÉLIE</t>
  </si>
  <si>
    <t>SPOLEK - MOTOKLUB PEKELNÉ DOLY</t>
  </si>
  <si>
    <t>Spolek Beran</t>
  </si>
  <si>
    <t>Spolek Martinovo údolí</t>
  </si>
  <si>
    <t>Spolek na ochranu Lužických hor</t>
  </si>
  <si>
    <t>Spolek pro vybudování rozhledny na Zeleném vrchu, z. s.</t>
  </si>
  <si>
    <t>Spolek přátel staré Radnice ve Cvikově</t>
  </si>
  <si>
    <t>Spolek Trávník a Naděje</t>
  </si>
  <si>
    <t>Školička U Sloníka, z.s.</t>
  </si>
  <si>
    <t>Tělovýchovná jednota Dynamo Lindava z.s.</t>
  </si>
  <si>
    <t>TJ Jiskra Cvikov</t>
  </si>
  <si>
    <t>TK Cvikov, z. s.</t>
  </si>
  <si>
    <t>TT Cyklorenova Cvikov, z.s.</t>
  </si>
  <si>
    <t>We help talents, z. s.</t>
  </si>
  <si>
    <t>YMCA Sever, z. s.</t>
  </si>
  <si>
    <t>Základní odborová organizace Dětská léčebna Cvikov</t>
  </si>
  <si>
    <t>Základní odborová organizace Léčebny respiračních nemocí Cvikov</t>
  </si>
  <si>
    <t>Základní organizace Českého zahrádkářského svazu Cvikov</t>
  </si>
  <si>
    <t>ZO OSZSP. ČR OSTARA, p.o. v likvidaci</t>
  </si>
  <si>
    <t>SH ČMS - Sbor dobrovolných hasičů Dalešice</t>
  </si>
  <si>
    <t>Dalešice</t>
  </si>
  <si>
    <t>Aerobic Desná</t>
  </si>
  <si>
    <t>Desná</t>
  </si>
  <si>
    <t>Agapé Sovenice</t>
  </si>
  <si>
    <t>BEL FIN, z.s.</t>
  </si>
  <si>
    <t>Česká asociace LPG (CALPG), z.s.</t>
  </si>
  <si>
    <t>Český svaz včelařů, z.s., základní organizace Tanvald</t>
  </si>
  <si>
    <t>"Divadelní spolek VOJAN Desná-Mladá haluz"</t>
  </si>
  <si>
    <t>Duha nad Desnou</t>
  </si>
  <si>
    <t>Glede Team, z. s.</t>
  </si>
  <si>
    <t>GleeBee z.s.</t>
  </si>
  <si>
    <t>INSPIRO Desná v J. h.</t>
  </si>
  <si>
    <t>Jizerský klub lyžařů Desná z.s.</t>
  </si>
  <si>
    <t>KARVELA - SERVIS</t>
  </si>
  <si>
    <t>KČT, odbor Desná</t>
  </si>
  <si>
    <t>Klub psích sportů z.s.</t>
  </si>
  <si>
    <t>MYSLIVECKÝ SPOLEK KOŘENOV - DESNÁ V JIZERSKÝCH HORÁCH</t>
  </si>
  <si>
    <t>Občanské sdružení AMSIDO</t>
  </si>
  <si>
    <t>Tvůrčí, umělecké a zábavní činnosti</t>
  </si>
  <si>
    <t>Občanské sdružení D.A.R.</t>
  </si>
  <si>
    <t>Ostatní zábavní a rekreační činnosti j. n.</t>
  </si>
  <si>
    <t>Odborový svaz skla, keramiky a porcelánu, Základní organizace DESKO a.s.</t>
  </si>
  <si>
    <t>Odborový svaz skla, keramiky a porcelánu, Základní organizace PRECIOSA-ORNELA a.s.</t>
  </si>
  <si>
    <t>PARAPLÍČKO, o.p.s.</t>
  </si>
  <si>
    <t>Pojízdné loutkové divadlo JULEK</t>
  </si>
  <si>
    <t>Poselství rodu Riedelů z.s.</t>
  </si>
  <si>
    <t>RSKM Tanvaldsko z.s.</t>
  </si>
  <si>
    <t>SČS, z.s.</t>
  </si>
  <si>
    <t>Činnosti profesních organizací</t>
  </si>
  <si>
    <t>SH ČMS - Sbor dobrovolných hasičů Černá Říčka</t>
  </si>
  <si>
    <t>SH ČMS - Sbor dobrovolných hasičů Desná I</t>
  </si>
  <si>
    <t>SH ČMS - Sbor dobrovolných hasičů Desná II</t>
  </si>
  <si>
    <t>SH ČMS - Sbor dobrovolných hasičů Desná III</t>
  </si>
  <si>
    <t>SH ČMS - Sbor dobrovolných hasičů Pustiny</t>
  </si>
  <si>
    <t>"SOS Souš,o.s."</t>
  </si>
  <si>
    <t>Společnost pro ochranu před negativními vlivy reklamy</t>
  </si>
  <si>
    <t>Společnost pro prevenci válek a terorismu</t>
  </si>
  <si>
    <t>Starokatolická farnost v Desné</t>
  </si>
  <si>
    <t>Stezky Tanvaldsko, spolek</t>
  </si>
  <si>
    <t>STREET FIGHTING METHODS</t>
  </si>
  <si>
    <t>Školní sportovní klub AŠSK při ZŠ a MŠ Desná, pobočný spolek</t>
  </si>
  <si>
    <t>TJ Desná, z.s.</t>
  </si>
  <si>
    <t>Základní organizace OS SOO při Městském úřadu Desná</t>
  </si>
  <si>
    <t>ZO Český svaz ochránců přírody Stěpánka</t>
  </si>
  <si>
    <t>ZO odborů Jablonecké sklárny s.r.o. Desná</t>
  </si>
  <si>
    <t>Honební společenstvo Šimonovice</t>
  </si>
  <si>
    <t>Dlouhý Most</t>
  </si>
  <si>
    <t>MOST 2012 z. s.</t>
  </si>
  <si>
    <t>Naše bydlení CZ z. s.</t>
  </si>
  <si>
    <t>Praxiso z. s.</t>
  </si>
  <si>
    <t>Římskokatolická farnost Dlouhý Most</t>
  </si>
  <si>
    <t>Římskokatolická farnost Křižany</t>
  </si>
  <si>
    <t>Římskokatolická farnost Rynoltice</t>
  </si>
  <si>
    <t>Římskokatolická farnost Žibřidice</t>
  </si>
  <si>
    <t>SH ČMS - Sbor dobrovolných hasičů Dlouhý Most</t>
  </si>
  <si>
    <t>SH ČMS - Sbor dobrovolných hasičů TEXTILANA - AKCIOVÁ SPOLEČNOST</t>
  </si>
  <si>
    <t>SK BENE Liberec z.s.</t>
  </si>
  <si>
    <t>Sportovní klub NERROX, z.s.</t>
  </si>
  <si>
    <t>SUBULCUS</t>
  </si>
  <si>
    <t>Akademion, z.s.</t>
  </si>
  <si>
    <t>Doksy</t>
  </si>
  <si>
    <t>ARTPENSION SKALKA</t>
  </si>
  <si>
    <t>ASPPO - asociace pro pomoc, z.s.</t>
  </si>
  <si>
    <t>Činnosti organizací sdružujících osoby za účelem prosazování společných zájmů</t>
  </si>
  <si>
    <t>Atletika Doksy, z. s.</t>
  </si>
  <si>
    <t>BikeBears Doksy</t>
  </si>
  <si>
    <t>BOD 21, z. s.</t>
  </si>
  <si>
    <t>Česká unie lodní třídy 2,4 mR, z.s.</t>
  </si>
  <si>
    <t>České centrum kouksundo z. s.</t>
  </si>
  <si>
    <t>Český kynologický svaz ZKO Doksy - 524</t>
  </si>
  <si>
    <t>Farmářská společnost z.s.</t>
  </si>
  <si>
    <t>Golf club Doksy z. s.</t>
  </si>
  <si>
    <t>Golf club Máchovo jezero</t>
  </si>
  <si>
    <t>Honební společenstvo Doksy-Staré Splavy</t>
  </si>
  <si>
    <t>Honební společenstvo Dubá - Korce</t>
  </si>
  <si>
    <t>Honební společenstvo Jestřebí - Zahrádky</t>
  </si>
  <si>
    <t>Honební společenstvo Okna</t>
  </si>
  <si>
    <t>Honební společenstvo Štědrá-Doksy</t>
  </si>
  <si>
    <t>Ignis - spolek šermířů Máchova kraje</t>
  </si>
  <si>
    <t>Jacht klub Pirát Staré Splavy</t>
  </si>
  <si>
    <t>Jachtklub Česká Lípa, z.s.</t>
  </si>
  <si>
    <t>JACHTKLUB MÁCHOVA JEZERA STARÉ SPLAVY, z.s.</t>
  </si>
  <si>
    <t>Jezdecký klub Unicorn z.s.</t>
  </si>
  <si>
    <t>Junák - český skaut, středisko Doksy, z. s.</t>
  </si>
  <si>
    <t>K L I K - a přijďte k nám, z.s.</t>
  </si>
  <si>
    <t>KRUH V PODBEZDĚZÍ, z. s.</t>
  </si>
  <si>
    <t>LAG Podralsko z. s.</t>
  </si>
  <si>
    <t>Liga ochrany a obnovy krajiny /LOOK/</t>
  </si>
  <si>
    <t>Mácha Tourist Club o.s.</t>
  </si>
  <si>
    <t>Máchův kraj - destinační management, z. s.</t>
  </si>
  <si>
    <t>Máchův kraj, z.s.</t>
  </si>
  <si>
    <t>Moto klub Kocheři Doksy z. s.</t>
  </si>
  <si>
    <t>MS - Okna u Doks, z.s.</t>
  </si>
  <si>
    <t>MS STUDÁNKA OKNA</t>
  </si>
  <si>
    <t>Myslivecké sdružení Jestřábí Vrch</t>
  </si>
  <si>
    <t>Myslivecké sdružení KAČER OBORA</t>
  </si>
  <si>
    <t>Nadační fond Antonína Bennewitze</t>
  </si>
  <si>
    <t>Nadační fond Dobré vzpomínky</t>
  </si>
  <si>
    <t>NÁMOŘNÍ YACHT CLUB DOKSY, spolek</t>
  </si>
  <si>
    <t>Nové sdružení vlastníků chat ve Starých Splavech, z. s.</t>
  </si>
  <si>
    <t>Obecně prospěšná společnost Máchovo jezero</t>
  </si>
  <si>
    <t>Orientační klub Doksy, z.s.</t>
  </si>
  <si>
    <t>PADDLE CLUB DOKSY z.s.</t>
  </si>
  <si>
    <t>RAPTOR F.B.- MOUNTAIN BIKE CLUB Doksy</t>
  </si>
  <si>
    <t>Římskokatolická farnost - děkanství Doksy</t>
  </si>
  <si>
    <t>Sdružení živnostníků Doks a okolí</t>
  </si>
  <si>
    <t>SH ČMS - Sbor dobrovolných hasičů Doksy</t>
  </si>
  <si>
    <t>SH ČMS - Sbor dobrovolných hasičů Staré Splavy</t>
  </si>
  <si>
    <t>Spolek chovatelů ušlechtilých koček v Čechách - BOHEMIANS EDELKATZE, e. V.</t>
  </si>
  <si>
    <t>Spolek pro rozvoj Starých Splavů</t>
  </si>
  <si>
    <t>Spolek pro využívání bioodpadů- Sever, z.s.</t>
  </si>
  <si>
    <t>Spolek rodičů a přátel ZŠ K. H. Máchy Doksy, z.s.</t>
  </si>
  <si>
    <t>Spolek vlastníků chat ARTES, z.s.</t>
  </si>
  <si>
    <t>Spolek vlastníků chat ve Starých Splavech, z.s.</t>
  </si>
  <si>
    <t>Spolek vlastníků pozemků lokality Jiráskova - Družstevní, Doksy</t>
  </si>
  <si>
    <t>Sportovní klub dětí i dospělých v Doksech, spolek</t>
  </si>
  <si>
    <t>Sportovní klub DoksStouni</t>
  </si>
  <si>
    <t>Sportovní klub ToRiK Doksy z.s.</t>
  </si>
  <si>
    <t>Studna vlastníků chat Staré Splavy z.s.</t>
  </si>
  <si>
    <t>SUBVENT z.s.</t>
  </si>
  <si>
    <t>Svaz tělesně postižených v České republice z. s. místní organizace Doksy</t>
  </si>
  <si>
    <t>TENISOVÝ KLUB DOKSY, spolek</t>
  </si>
  <si>
    <t>Tenisový klub Skalka</t>
  </si>
  <si>
    <t>TJ Doksy, z.s.</t>
  </si>
  <si>
    <t>TJ Staré Splavy, z.s.</t>
  </si>
  <si>
    <t>Útulek Dogsy, z.s.</t>
  </si>
  <si>
    <t>Vlastenecko dobročinná sdružená obec baráčníků Doksy</t>
  </si>
  <si>
    <t>Výživové poradenství KP Nutrition z.s.</t>
  </si>
  <si>
    <t>YACHT CLUB DOKSY, spolek</t>
  </si>
  <si>
    <t>Základní organizace Českého zahrádkářského svazu Doksy č. 1</t>
  </si>
  <si>
    <t>Základní organizace Českého zahrádkářského svazu Doksy 4</t>
  </si>
  <si>
    <t>Základní organizace Odborového svazu státních orgánů a organizací Městský úřad Doksy</t>
  </si>
  <si>
    <t>4ARTE z.s.</t>
  </si>
  <si>
    <t>Amina - služby pro rodinu, o.p.s.</t>
  </si>
  <si>
    <t>Dolní Řasnice</t>
  </si>
  <si>
    <t>Sociální služby poskytované dětem</t>
  </si>
  <si>
    <t>Český svět, z.s.</t>
  </si>
  <si>
    <t>Jezdecký klub Ranč Zátoka</t>
  </si>
  <si>
    <t>KnB Moto racing, z. s.</t>
  </si>
  <si>
    <t>MS Řasnice</t>
  </si>
  <si>
    <t>National Barrel Horse Association of Czech Republic z.s.</t>
  </si>
  <si>
    <t>SH ČMS - Sbor dobrovolných hasičů Dolní Řasnice</t>
  </si>
  <si>
    <t>Sportovní klub Rapid Dolní Řasnice</t>
  </si>
  <si>
    <t>„sus liberans”</t>
  </si>
  <si>
    <t>TJ Jiskra Dolní Řasnice z.s.</t>
  </si>
  <si>
    <t>Český svaz včelařů, z.s., základní organizace Držkov</t>
  </si>
  <si>
    <t>Držkov</t>
  </si>
  <si>
    <t>FFMA, z.s.</t>
  </si>
  <si>
    <t>Honební společenstvo Držkov</t>
  </si>
  <si>
    <t>Myslivecký spolek Držkov</t>
  </si>
  <si>
    <t>Občanské sdružení - "Děti duhy", z.s.</t>
  </si>
  <si>
    <t>Řád Templářů</t>
  </si>
  <si>
    <t>SH ČMS - Sbor dobrovolných hasičů Držkov</t>
  </si>
  <si>
    <t>TJ Sokol Držkov</t>
  </si>
  <si>
    <t>Český kynologický svaz ZKO Stráž pod Ralskem - 420</t>
  </si>
  <si>
    <t>Dubnice</t>
  </si>
  <si>
    <t>Dubničáci z.s.</t>
  </si>
  <si>
    <t>Honební společenstvo Sedliště</t>
  </si>
  <si>
    <t>Myslivecký spolek "Šesterák" Dubnice</t>
  </si>
  <si>
    <t>TJ Dubnice z. s.</t>
  </si>
  <si>
    <t>Bikros sport klub Dubá</t>
  </si>
  <si>
    <t>Dubá</t>
  </si>
  <si>
    <t>Český rybářský svaz, z. s., místní organizace Dubá</t>
  </si>
  <si>
    <t>DIAKONIE DUBÁ z.s.</t>
  </si>
  <si>
    <t>Dubská volba</t>
  </si>
  <si>
    <t>Generace environmentalistů a dalších</t>
  </si>
  <si>
    <t>Honební společenstvo Březinka</t>
  </si>
  <si>
    <t>Honební společenstvo Dubá - Deštná</t>
  </si>
  <si>
    <t>Jezdecký oddíl "DEŠTNÁ"</t>
  </si>
  <si>
    <t>Klub chovatelů a přátel ruských černých teriérů v ČR, z.s.</t>
  </si>
  <si>
    <t>Klub malých Dubáčků, z.s.</t>
  </si>
  <si>
    <t>MS Dubá - Dražejov</t>
  </si>
  <si>
    <t>Myslivecké sdružení DAMA,o.s.</t>
  </si>
  <si>
    <t>Myslivecký spolek KORCE</t>
  </si>
  <si>
    <t>Myslivecký spolek Výr Dubá</t>
  </si>
  <si>
    <t>Občanské sdružení APSIDA</t>
  </si>
  <si>
    <t>Otec a syn, z. s.</t>
  </si>
  <si>
    <t>Pečovatelské sdružení pro seniory</t>
  </si>
  <si>
    <t>Podbezdězský spolek intelektuální, poetický a okrašlovací</t>
  </si>
  <si>
    <t>Římskokatolická farnost - děkanství Dubá</t>
  </si>
  <si>
    <t>Římskokatolická farnost Blíževedly</t>
  </si>
  <si>
    <t>Římskokatolická farnost Deštná</t>
  </si>
  <si>
    <t>Římskokatolická farnost Holany</t>
  </si>
  <si>
    <t>Římskokatolická farnost Jestřebí</t>
  </si>
  <si>
    <t>Římskokatolická farnost Kravaře u České Lípy</t>
  </si>
  <si>
    <t>Římskokatolická farnost Pavlovice</t>
  </si>
  <si>
    <t>Římskokatolická farnost Stvolínky</t>
  </si>
  <si>
    <t>Římskokatolická farnost Tuhaň</t>
  </si>
  <si>
    <t>Sdružení nájemníků Dubá 330</t>
  </si>
  <si>
    <t>Sdružení občanů Dubska</t>
  </si>
  <si>
    <t>Sdružení rodičů a přátel školy při ZŠ Dubá</t>
  </si>
  <si>
    <t>SH ČMS - Sbor dobrovolných hasičů Dubá</t>
  </si>
  <si>
    <t>Sportovně střelecký klub Dubá z.s.</t>
  </si>
  <si>
    <t>TJ Slavoj Dubá, z.s.</t>
  </si>
  <si>
    <t>TJ Sokol Dřevčice</t>
  </si>
  <si>
    <t>Dětřichovský okrašlovací spolek</t>
  </si>
  <si>
    <t>Dětřichov</t>
  </si>
  <si>
    <t>Honební společenstvo Dětřichov u Frýdlantu v Č.</t>
  </si>
  <si>
    <t>Nohama vzhůru z.s.</t>
  </si>
  <si>
    <t>Sdružení rodičů a přátel dětí a školy Dětřichov</t>
  </si>
  <si>
    <t>SH ČMS - Sbor dobrovolných hasičů Dětřichov</t>
  </si>
  <si>
    <t>TJ Viktoria Dětřichov z. s.</t>
  </si>
  <si>
    <t>Agrostudium Frýdlant</t>
  </si>
  <si>
    <t>Frýdlant</t>
  </si>
  <si>
    <t>Assistentia o.p.s.</t>
  </si>
  <si>
    <t>AUTO KLUB FRÝDLANT v likvidaci</t>
  </si>
  <si>
    <t>Bike Frýdlant z. s.</t>
  </si>
  <si>
    <t>CB klub regionu Frýdlant v Č.</t>
  </si>
  <si>
    <t>CEEBIUS GYM, z. s.</t>
  </si>
  <si>
    <t>CO dance company, z.s.</t>
  </si>
  <si>
    <t>Česká asociace online šipek, z. s.</t>
  </si>
  <si>
    <t>Český rybářský svaz, z. s., místní organizace Frýdlant</t>
  </si>
  <si>
    <t>Český svaz chovatelů, z.s., Okresní organizace Liberec</t>
  </si>
  <si>
    <t>Český svaz chovatelů, z.s., Základní organizace Frýdlant v Čechách</t>
  </si>
  <si>
    <t>Český svaz včelařů, z.s., základní organizace Dolní Řasnice</t>
  </si>
  <si>
    <t>Discgolf Frýdlant, z.s.</t>
  </si>
  <si>
    <t>Divadelní soubor Josefa Kajetána Tyla z. s.</t>
  </si>
  <si>
    <t>Domeček Frýdlant, z. s.</t>
  </si>
  <si>
    <t>DOMOV U SPASITELE středisko Husitské diakonie</t>
  </si>
  <si>
    <t>DŽERBYS PROJECT, z.s.</t>
  </si>
  <si>
    <t>FC PERTOLTICE z.s.</t>
  </si>
  <si>
    <t>"Festivalový svět Frýdlant" v likvidaci</t>
  </si>
  <si>
    <t>Focení hrou, z.s.</t>
  </si>
  <si>
    <t>Freeland Stable, z.s.</t>
  </si>
  <si>
    <t>Freeride TNT, z.s.</t>
  </si>
  <si>
    <t>Frýdlantsko Franze Kafky, z.s.</t>
  </si>
  <si>
    <t>Fun &amp; Lollipen, studentská společnost - v likvidaci</t>
  </si>
  <si>
    <t>Gymnastika Frýdlant z.s.</t>
  </si>
  <si>
    <t>HC Frýdlant, z.s.</t>
  </si>
  <si>
    <t>Honební společenstvo Bulovka - Obora</t>
  </si>
  <si>
    <t>Honební společenstvo Bulovka - Rybníčky</t>
  </si>
  <si>
    <t>Honební společenstvo Frýdlant - Školní statek</t>
  </si>
  <si>
    <t>Honební společenstvo Frýdlant - Větrov</t>
  </si>
  <si>
    <t>Honební společenstvo Pertoltice</t>
  </si>
  <si>
    <t>JAC-racing</t>
  </si>
  <si>
    <t>Jizerský klub orientačního běhu Frýdlant</t>
  </si>
  <si>
    <t>JMmotoracing, z.s.</t>
  </si>
  <si>
    <t>JZ Racing Frýdlant z.s.</t>
  </si>
  <si>
    <t>Karate klub Frýdlant, z. s.</t>
  </si>
  <si>
    <t>Klub turistů Frýdlant</t>
  </si>
  <si>
    <t>Kruh přátel dětského domova ve Frýdlantě</t>
  </si>
  <si>
    <t>KSPaintball Frýdlant</t>
  </si>
  <si>
    <t>Kulturní sdružení Frýdlant</t>
  </si>
  <si>
    <t>Provozování kulturních zařízení</t>
  </si>
  <si>
    <t>MAS Frýdlantsko, z.s.</t>
  </si>
  <si>
    <t>Mladí ochránci Jizerských hor</t>
  </si>
  <si>
    <t>MOTOTEAM, z.s.</t>
  </si>
  <si>
    <t>MS Tetřev-Frýdlant v Čechách</t>
  </si>
  <si>
    <t>Muzikanti Frýdlant, z. s.</t>
  </si>
  <si>
    <t>Myslivecké sdružení Dubina</t>
  </si>
  <si>
    <t>Myslivecký spolek Diana Frýdlant</t>
  </si>
  <si>
    <t>Myslivecký spolek HARTA - Višňová</t>
  </si>
  <si>
    <t>Myslivecký spolek Kunratice - zahrady</t>
  </si>
  <si>
    <t>Myslivecký spolek Obora Frýdlant</t>
  </si>
  <si>
    <t>Náboženská obec Církve československé husitské ve Frýdlantu v Čechách</t>
  </si>
  <si>
    <t>Naše Beruška z.s., v likvidaci</t>
  </si>
  <si>
    <t>O. S. U M. (Občanské Sdružení UMělců)</t>
  </si>
  <si>
    <t>"občanské sdružení Grex-sever"</t>
  </si>
  <si>
    <t>Občanské sdružení MACEF-zaměřené na podporu základních funkcí rodiny</t>
  </si>
  <si>
    <t>Občanské sdružení Za starý Frýdlant</t>
  </si>
  <si>
    <t>Činnosti občanských iniciativ, protestních hnutí</t>
  </si>
  <si>
    <t>Odborová organizace LČR, s.p., LS Frýdlant</t>
  </si>
  <si>
    <t>Patrioti základní školy Bělíkova, Frýdlant</t>
  </si>
  <si>
    <t>„Poradenské centrum DYS“</t>
  </si>
  <si>
    <t>Posilovna Frýdlant, z. s.</t>
  </si>
  <si>
    <t>Pravoslavná církevní obec ve Frýdlantu v Čechách</t>
  </si>
  <si>
    <t>RC FLYING CLUB FRÝDLANT modelářský klub p.s.,</t>
  </si>
  <si>
    <t>Římskokatolická farnost - děkanství Frýdlant v Čechách</t>
  </si>
  <si>
    <t>Římskokatolická farnost Bulovka</t>
  </si>
  <si>
    <t>Římskokatolická farnost Dětřichov u Frýdlantu</t>
  </si>
  <si>
    <t>Římskokatolická farnost Ves u Frýdlantu</t>
  </si>
  <si>
    <t>Sbor Jednoty bratrské ve Frýdlantě</t>
  </si>
  <si>
    <t>Sdružení občanů romské národnosti (SORN)</t>
  </si>
  <si>
    <t>Sdružení podnikatelů města Frýdlant</t>
  </si>
  <si>
    <t>Sdružení pro děti a mládež Frýdlant z. s.</t>
  </si>
  <si>
    <t>Sdružení pro rozvoj Frýdlantska</t>
  </si>
  <si>
    <t>Sdružení rodičů a přátel dětí a školy při ZŠ ul. V.Bělíka v likvidaci</t>
  </si>
  <si>
    <t>Sdružení rodičů a přátel gymnázia Frýdlant</t>
  </si>
  <si>
    <t>Sdružení rodičů, přátel a dětí školy při SZeŠ a OA v likvidaci</t>
  </si>
  <si>
    <t>Sdružený klub pracujících, v likvidaci</t>
  </si>
  <si>
    <t>Podnik nebo hospodářské zařízení sdružení</t>
  </si>
  <si>
    <t>SH ČMS - Sbor dobrovolných hasičů Frýdlant v Čechách</t>
  </si>
  <si>
    <t>SH ČMS - Sbor dobrovolných hasičů Větrov</t>
  </si>
  <si>
    <t>SK Agro Frýdlant v Čechách</t>
  </si>
  <si>
    <t>SK VĚTROV</t>
  </si>
  <si>
    <t>Slovan Frýdlant, oddíl kopané, z.s.</t>
  </si>
  <si>
    <t>Sokratovské rozhovory z.s.</t>
  </si>
  <si>
    <t>Spolek chovatelů exotického ptactva Liberec</t>
  </si>
  <si>
    <t>Spolek Frýdlantské okresní dráhy</t>
  </si>
  <si>
    <t>SPOLEK J.K. NICOL Frýdlant</t>
  </si>
  <si>
    <t>Spolek přátel a rodičů Gymnázia Frýdlant</t>
  </si>
  <si>
    <t>Spolek přátel Albrechtic a Filipova, z.s.</t>
  </si>
  <si>
    <t>Spolek přátel Avanti, z.s.</t>
  </si>
  <si>
    <t>Spolek rodičů a přátel školy při Střední škole hospodářské a lesnické, Frýdlant, pracoviště Bělíkova</t>
  </si>
  <si>
    <t>Spolek rodičů a přátel školy ve Frýdlantě</t>
  </si>
  <si>
    <t>Sportovní klub stolního tenisu Frýdlant v Čechách</t>
  </si>
  <si>
    <t>ST Frýdlant, z.s.</t>
  </si>
  <si>
    <t>STOP PÍSKOVNĚ</t>
  </si>
  <si>
    <t>Středoškolský klub SZeŠ Frýdlant</t>
  </si>
  <si>
    <t>Šachový klub Frýdlant, z. s.</t>
  </si>
  <si>
    <t>Tělovýchovná jednota SLOVAN Frýdlant, z. s.</t>
  </si>
  <si>
    <t>Tenisový klub Frýdlant o.s.</t>
  </si>
  <si>
    <t>TJ Sokol Víska z.s.</t>
  </si>
  <si>
    <t>"U Školky"</t>
  </si>
  <si>
    <t>Vlastenecko dobročinná sdružená obec baráčníků Frýdlant v Čechách-Větrov</t>
  </si>
  <si>
    <t>Vrtule Frýdlant, z. s.</t>
  </si>
  <si>
    <t>Wietew z.s.</t>
  </si>
  <si>
    <t>Základní organizace Českého zahrádkářského svazu Frýdlant</t>
  </si>
  <si>
    <t>Základní organizace odborového svazu pracovníků školství při Centrální jídelně v Husově ulici</t>
  </si>
  <si>
    <t>Základní organizace odborového svazu pracovníků školství při Mateřské škole v Sídlištní ulici</t>
  </si>
  <si>
    <t>Základní organizace odborového svazu pracovníků školství při Základní škole v Bělíkově ulici</t>
  </si>
  <si>
    <t>Základní organizace odborového svazu pracovníků školství při Základní škole v Husově ulici</t>
  </si>
  <si>
    <t>Zemědělské a lesnické vzdělávací sdružení o.s.</t>
  </si>
  <si>
    <t>ZO OS zemědělství,SOU zemědělské</t>
  </si>
  <si>
    <t>Honební společenstvo Březina</t>
  </si>
  <si>
    <t>Frýdštejn</t>
  </si>
  <si>
    <t>Honební společenstvo Frýdštejn - Voděrady</t>
  </si>
  <si>
    <t>Honební společenstvo Jenišovice</t>
  </si>
  <si>
    <t>Hudební spolek V českém znění z Frýdštejna z.s.</t>
  </si>
  <si>
    <t>Myslivecký spolek BOREK - VODĚRADY</t>
  </si>
  <si>
    <t>SH ČMS - Sbor dobrovolných hasičů Bezděčín</t>
  </si>
  <si>
    <t>SH ČMS - Sbor dobrovolných hasičů Frýdštejn</t>
  </si>
  <si>
    <t>SH ČMS - Sbor dobrovolných hasičů Roudný</t>
  </si>
  <si>
    <t>SH ČMS - Sbor dobrovolných hasičů Voděrady</t>
  </si>
  <si>
    <t>Tělocvičná jednota Sokol Frýdštejn</t>
  </si>
  <si>
    <t>ZAzemí, z.s.</t>
  </si>
  <si>
    <t>Komora pěstitelů biomasy, o.s.</t>
  </si>
  <si>
    <t>Habartice</t>
  </si>
  <si>
    <t>MS Chuchláci Habartice</t>
  </si>
  <si>
    <t>Myslivecký spolek Andělka - Ves</t>
  </si>
  <si>
    <t>SH ČMS - Sbor dobrovolných hasičů Habartice</t>
  </si>
  <si>
    <t>TJ Tatran Habartice z.s.</t>
  </si>
  <si>
    <t>B.Ú.H. zapsaný spolek</t>
  </si>
  <si>
    <t>Hamr na Jezeře</t>
  </si>
  <si>
    <t>Český svaz včelařů, z.s., základní organizace Mimoň</t>
  </si>
  <si>
    <t>Klub turistů Hamr u České Lípy</t>
  </si>
  <si>
    <t>MOTOR GRUP SPORT o.s.</t>
  </si>
  <si>
    <t>Motorsport Erben z.s.</t>
  </si>
  <si>
    <t>Občanský zájmový spolek Česká Lípa</t>
  </si>
  <si>
    <t>Sdružení občanů ,,Hamerské jezero´´</t>
  </si>
  <si>
    <t>Sdružení občanů Sblížení</t>
  </si>
  <si>
    <t>SPOLEK ZA JEZEREM, z.s.</t>
  </si>
  <si>
    <t>Areál skokanských můstků Harrachov, o.p.s.</t>
  </si>
  <si>
    <t>Harrachov</t>
  </si>
  <si>
    <t>Betri z.s.</t>
  </si>
  <si>
    <t>Česká lesnická společnost Harrachov, p. s.</t>
  </si>
  <si>
    <t>ČKL Harrachov, spolek</t>
  </si>
  <si>
    <t>FAMOT z.s.</t>
  </si>
  <si>
    <t>Golf centrum Krkonoše Harrachov v likvidaci</t>
  </si>
  <si>
    <t>Golf club Harrachov z. s.</t>
  </si>
  <si>
    <t>Harrachov Racing Academy, z.s.</t>
  </si>
  <si>
    <t>Klub biatlonu Harrachov, p.s.</t>
  </si>
  <si>
    <t>Klub průmyslu parních strojů</t>
  </si>
  <si>
    <t>Lyžařský a turistický Bucharův klub Harrachov z.s.</t>
  </si>
  <si>
    <t>Nadační fond LTBK</t>
  </si>
  <si>
    <t>Národní sportovní centrum Harrachov z.s.</t>
  </si>
  <si>
    <t>Občanské sdružení Náš-Net z. s.</t>
  </si>
  <si>
    <t>Odborová organizace Střední školy Harrachov</t>
  </si>
  <si>
    <t>Pomáháme fotbalem, nadační fond</t>
  </si>
  <si>
    <t>Porta montes z.s.</t>
  </si>
  <si>
    <t>Stravování v restauracích, u stánků a v mobilních zařízeních</t>
  </si>
  <si>
    <t>Porta tempus z.s.</t>
  </si>
  <si>
    <t>Pumptrack Harrachov z.s.</t>
  </si>
  <si>
    <t>Římskokatolická farnost Harrachov</t>
  </si>
  <si>
    <t>Sdružení pro Kongres Interski 1999</t>
  </si>
  <si>
    <t>Zájmové sdružení právnických osob</t>
  </si>
  <si>
    <t>Sdružení pro rozvoj cestovního ruchu v Harrachově, z.s.</t>
  </si>
  <si>
    <t>SDRUŽENÍ SKI HARRACHOV v likvidaci</t>
  </si>
  <si>
    <t>SH ČMS - Sbor dobrovolných hasičů Harrachov</t>
  </si>
  <si>
    <t>SKI KLUB Harrachov v likvidaci</t>
  </si>
  <si>
    <t>SKI TEAM HARRANTI HARRACHOV, z. s.</t>
  </si>
  <si>
    <t>SLON VRANEJ z.s.</t>
  </si>
  <si>
    <t>Spolek Bakajda</t>
  </si>
  <si>
    <t>Spolek Rýžoviště</t>
  </si>
  <si>
    <t>Spolek Sachrův kopec - vodní hospodářství, z.s.</t>
  </si>
  <si>
    <t>Sportovní klub policie Harrachov z.s.</t>
  </si>
  <si>
    <t>Sun Ski klub Harrachov z.s.</t>
  </si>
  <si>
    <t>Svornost Harrachov</t>
  </si>
  <si>
    <t>Tělovýchovná jednota Jiskra Harrachov, z.s.</t>
  </si>
  <si>
    <t>Tenis Club Harrachov, z.s.</t>
  </si>
  <si>
    <t>VIA LUNISA o.s. v likvidaci</t>
  </si>
  <si>
    <t>Centrum Mateřídouška, z.s.</t>
  </si>
  <si>
    <t>Hejnice</t>
  </si>
  <si>
    <t>Centrum obyčejného života</t>
  </si>
  <si>
    <t>Centrum volného času Moštárna o.p.s.</t>
  </si>
  <si>
    <t>Česko-Ukrajinský Nadační fond</t>
  </si>
  <si>
    <t>Divadelní amatérská skupina ALTERNATIV I.</t>
  </si>
  <si>
    <t>Epiphany z.s.</t>
  </si>
  <si>
    <t>"FERDINANDOV 3000 o.s."</t>
  </si>
  <si>
    <t>FK HEJNICE, z.s.</t>
  </si>
  <si>
    <t>Frýdlantsko, z. s.</t>
  </si>
  <si>
    <t>Horolezecký oddíl Hejnice, z.s.</t>
  </si>
  <si>
    <t>Integrující poradna Montessori, z.s.</t>
  </si>
  <si>
    <t>JAKA, z.s. - pobočný spolek Ferdinandov</t>
  </si>
  <si>
    <t>Jezdecká společnost Hejnice, z. s.</t>
  </si>
  <si>
    <t>Jizerský fotoklub Hejnice, spolek</t>
  </si>
  <si>
    <t>Klášter Hejnice - vzdělávací, konferenční a poutní dům</t>
  </si>
  <si>
    <t>Lesní klub Skřivánek, z.s.</t>
  </si>
  <si>
    <t>MS PEKLO</t>
  </si>
  <si>
    <t>Myslivecký spolek Ořešník</t>
  </si>
  <si>
    <t>Myslivecký spolek Peklo Raspenava</t>
  </si>
  <si>
    <t>Nadační fond - Clam-Gallas - Stiftungsfonds</t>
  </si>
  <si>
    <t>občanské sdružení Jantarový Svět</t>
  </si>
  <si>
    <t>Pipe club MINA</t>
  </si>
  <si>
    <t>Římskokatolická farnost Hejnice</t>
  </si>
  <si>
    <t>Sbor Jednoty bratrské v Hejnicích</t>
  </si>
  <si>
    <t>Sdružení osadníků Ferdinandova z.s.</t>
  </si>
  <si>
    <t>Sdružení pro sport a volný čas, o.s.</t>
  </si>
  <si>
    <t>Sdružení pro výstavbu plynovodu a plynofikaci obcí</t>
  </si>
  <si>
    <t>SH ČMS - Sbor dobrovolných hasičů Ferdinandov</t>
  </si>
  <si>
    <t>SH ČMS - Sbor dobrovolných hasičů Hejnice</t>
  </si>
  <si>
    <t>SKI KLUB HEJNICE</t>
  </si>
  <si>
    <t>Společně pro Hejnice, zapsaný spolek</t>
  </si>
  <si>
    <t>Spolek přátel Střední školy Jana Blahoslava</t>
  </si>
  <si>
    <t>Spolek rodičů a přátel Mateřské školy Zvoneček Hejnice</t>
  </si>
  <si>
    <t>Spolek rodičů a přátel školy při ZŠ Hejnice</t>
  </si>
  <si>
    <t>SRPŠ SOU lesnického Hejnice</t>
  </si>
  <si>
    <t>Střední škola pedagogická a sociálně právní a střední zdravotnická škola Jana Blahoslava</t>
  </si>
  <si>
    <t>Školská právnická osoba</t>
  </si>
  <si>
    <t>Střední odborné vzdělávání na středních odborných školách</t>
  </si>
  <si>
    <t>Tělovýchovná jednota JISKRA HEJNICE, z.s.</t>
  </si>
  <si>
    <t>Vrtule Ferdinandov z. s.</t>
  </si>
  <si>
    <t>Za lepší Hejnice, z. s.</t>
  </si>
  <si>
    <t>Záchranná brigáda kynologů Libereckého kraje</t>
  </si>
  <si>
    <t>Základní organizace odborového svazu pracovníků školství při Základní škole v Nádražní ulici</t>
  </si>
  <si>
    <t>Zelení a pestří</t>
  </si>
  <si>
    <t>ZO Asociace víceúčel. ZO tech.sportů HEJNICE, pobočný spolek</t>
  </si>
  <si>
    <t>ZO OS KOVO AUTOBRZDY HEJNICE</t>
  </si>
  <si>
    <t>KYNOLOGICKÝ KLUB CELNÍKŮ</t>
  </si>
  <si>
    <t>Heřmanice</t>
  </si>
  <si>
    <t>LIBINSPIRO z.s.</t>
  </si>
  <si>
    <t>Myslivecké sdružení Heřmanice</t>
  </si>
  <si>
    <t>SH ČMS - Sbor dobrovolných hasičů Heřmanice</t>
  </si>
  <si>
    <t>Tělocvičná jednota Sokol Heřmanice</t>
  </si>
  <si>
    <t>Čistírna odpadních vod Hlavice, zapsaný spolek</t>
  </si>
  <si>
    <t>Hlavice</t>
  </si>
  <si>
    <t>Činnosti související s odpadními vodami</t>
  </si>
  <si>
    <t>Honební společenstvo HLAVICE</t>
  </si>
  <si>
    <t>Myslivecký spolek Hlavice</t>
  </si>
  <si>
    <t>Plenér, z. s.</t>
  </si>
  <si>
    <t>Sdružení dárců krve</t>
  </si>
  <si>
    <t>SH ČMS - Sbor dobrovolných hasičů Hlavice</t>
  </si>
  <si>
    <t>Sportovní klub Hlavice, z.s.</t>
  </si>
  <si>
    <t>Statek, z. s.</t>
  </si>
  <si>
    <t>Aeroklub Hodkovice nad Mohelkou, z.s.</t>
  </si>
  <si>
    <t>Hodkovice nad Mohelkou</t>
  </si>
  <si>
    <t>Aeroklub Hodkovice-město o.s.</t>
  </si>
  <si>
    <t>Asociace podpory bojových umění z.s.</t>
  </si>
  <si>
    <t>CWA CZ, z. s.</t>
  </si>
  <si>
    <t>CZECH TRUCK RACING TEAM, z.s.</t>
  </si>
  <si>
    <t>Čambuzy Poker Club</t>
  </si>
  <si>
    <t>Český rybářský svaz, z. s., místní organizace Hodkovice nad Mohelkou</t>
  </si>
  <si>
    <t>ČESKÝ SVAZ K-1 a MMA, z.s.</t>
  </si>
  <si>
    <t>ČESKÝ SVAZ POLE DANCE, z.s.</t>
  </si>
  <si>
    <t>Český svaz včelařů, z.s., okresní organizace Liberec</t>
  </si>
  <si>
    <t>Český svaz včelařů, z.s., základní organizace Hodkovice nad Mohelkou</t>
  </si>
  <si>
    <t>DTK MINI-M LIBEREC, z.s.</t>
  </si>
  <si>
    <t>Health warriors, z.s.</t>
  </si>
  <si>
    <t>Hodkovické amatérské divadlo, o.s.</t>
  </si>
  <si>
    <t>Hodkovický sportovní klub</t>
  </si>
  <si>
    <t>InREGIO o.s.</t>
  </si>
  <si>
    <t>"Konlex" z.s.</t>
  </si>
  <si>
    <t>Milé hnízdo o.s.</t>
  </si>
  <si>
    <t>MS Boženice, z.s.</t>
  </si>
  <si>
    <t>MS Radostín, z.s.</t>
  </si>
  <si>
    <t>Myslivecké sdružení Cervus, o.s.</t>
  </si>
  <si>
    <t>Občané pro zdravý život - Jílové</t>
  </si>
  <si>
    <t>Omega Liberec</t>
  </si>
  <si>
    <t>Radoňovický okrašlovací spolek</t>
  </si>
  <si>
    <t>Rodinný klub Motýlek, z.s.</t>
  </si>
  <si>
    <t>Rough gym, z.s.</t>
  </si>
  <si>
    <t>Římskokatolická farnost Hodkovice nad Mohelkou</t>
  </si>
  <si>
    <t>Sdružení drobných akcionářů a.s. ATESO</t>
  </si>
  <si>
    <t>Činnosti podnikatelských a zaměstnavatelských organizací</t>
  </si>
  <si>
    <t>Sdružení na podporu chráněného bydlení a zaměstnávání lidí handicapem</t>
  </si>
  <si>
    <t>Sdružení podještědských farností</t>
  </si>
  <si>
    <t>Správa nemovitostí na základě smlouvy nebo dohody</t>
  </si>
  <si>
    <t>SH ČMS - Sbor dobrovolných hasičů Hodkovice nad Mohelkou</t>
  </si>
  <si>
    <t>SH ČMS - Sbor dobrovolných hasičů Jílové</t>
  </si>
  <si>
    <t>SH ČMS - Sbor dobrovolných hasičů Záskalí</t>
  </si>
  <si>
    <t>Spolek - Horolezecký oddíl Hodkovice nad Mohelkou</t>
  </si>
  <si>
    <t>Spolek rodáků a přátel Hodkovic</t>
  </si>
  <si>
    <t>Spolek zahrádkářů Hodkovice</t>
  </si>
  <si>
    <t>Sportovní klub Hodkovice nad Mohelkou z.s.</t>
  </si>
  <si>
    <t>Tělocvičná Jednota SOKOL HODKOVICE NAD MOHELKOU</t>
  </si>
  <si>
    <t>Tenis klub Čambuzy Hodkovice, z. s.</t>
  </si>
  <si>
    <t>Valiant warriors, z.s.</t>
  </si>
  <si>
    <t>WORLD UNION OF POLE DANCE &amp; AERIAL SPORTS, z.s.</t>
  </si>
  <si>
    <t>Yangame Gym</t>
  </si>
  <si>
    <t>Základní organizace Českého zahrádkářského svazu Hodkovice</t>
  </si>
  <si>
    <t>ZO OS KOVO Monroe</t>
  </si>
  <si>
    <t>Český svaz chovatelů, z.s., Základní organizace Holany</t>
  </si>
  <si>
    <t>Holany</t>
  </si>
  <si>
    <t>LOUBÍ</t>
  </si>
  <si>
    <t>Myslivecké sdružení Vlhošť</t>
  </si>
  <si>
    <t>Občanské sdružení Dhanjavád</t>
  </si>
  <si>
    <t>Spolek přátel Country CL</t>
  </si>
  <si>
    <t>Sportovní klub Studio Holany</t>
  </si>
  <si>
    <t>TJ Dynamo Holany</t>
  </si>
  <si>
    <t>ZÁCHRANÁŘI ČESKÁ LÍPA z.s.</t>
  </si>
  <si>
    <t>S drakem rval se Michael, z.s.</t>
  </si>
  <si>
    <t>Holenice</t>
  </si>
  <si>
    <t>SH ČMS - Sbor dobrovolných hasičů Holenice</t>
  </si>
  <si>
    <t>Srdce myslivny, z.s.</t>
  </si>
  <si>
    <t>Ostatní vzdělávání j. n.</t>
  </si>
  <si>
    <t>SH ČMS - Sbor dobrovolných hasičů Nedaříž</t>
  </si>
  <si>
    <t>Horka u Staré Paky</t>
  </si>
  <si>
    <t>TJ Sokol Horka u Staré Paky, z.s.</t>
  </si>
  <si>
    <t>Aviatik club Krkonoše z.s.</t>
  </si>
  <si>
    <t>Horní Branná</t>
  </si>
  <si>
    <t>Český svaz včelařů, z.s., základní organizace Horní Branná</t>
  </si>
  <si>
    <t>ČSS, z.s. - sportovně střelecký klub Horní Branná</t>
  </si>
  <si>
    <t>End Duchenne z.s.</t>
  </si>
  <si>
    <t>Fitness Areál Jičín z.s.</t>
  </si>
  <si>
    <t>Fontes tres, z.s.</t>
  </si>
  <si>
    <t>Klub vojáků v záloze Valteřice</t>
  </si>
  <si>
    <t>LMK Horní Branná p.s. zapsaný v SMČR</t>
  </si>
  <si>
    <t>Lukostřelecký klub Valteřice, z.s.</t>
  </si>
  <si>
    <t>Motosport Valteřice - spolek</t>
  </si>
  <si>
    <t>Myslivecký spolek SOVINEC Horní Branná</t>
  </si>
  <si>
    <t>Paragliding Krkonoše z. s.</t>
  </si>
  <si>
    <t>Pobočný spolek AVZO TSČ 512 36 Horní Branná č.9.</t>
  </si>
  <si>
    <t>PRO-BIO Svaz ekologických zemědělců, regionální centrum Krkonoše a Podkrkonoší</t>
  </si>
  <si>
    <t>Římskokatolická farnost Horní Branná</t>
  </si>
  <si>
    <t>SH ČMS - Sbor dobrovolných hasičů Horní Branná</t>
  </si>
  <si>
    <t>SH ČMS - Sbor dobrovolných hasičů Valteřice</t>
  </si>
  <si>
    <t>Spolek českých letců</t>
  </si>
  <si>
    <t>Tělocvičná jednota Sokol Horní Branná</t>
  </si>
  <si>
    <t>Tělocvičná jednota Sokol Valteřice</t>
  </si>
  <si>
    <t>Tělovýchovná jednota Sokol Horní Branná z.s.</t>
  </si>
  <si>
    <t>Cofi Capito z.s.</t>
  </si>
  <si>
    <t>Horní Libchava</t>
  </si>
  <si>
    <t>Český kynologický svaz ZKO Česká Lípa - Město - 729</t>
  </si>
  <si>
    <t>Honební společenstvo Horní Libchava</t>
  </si>
  <si>
    <t>Libchavští Chlupáči z.s.</t>
  </si>
  <si>
    <t>Myslivecký spolek Horní Libchava</t>
  </si>
  <si>
    <t>SH ČMS - Sbor dobrovolných hasičů Horní Libchava</t>
  </si>
  <si>
    <t>"Spolek Jakuba Většího HL"</t>
  </si>
  <si>
    <t>Spolek Občané Horní Libchavy</t>
  </si>
  <si>
    <t>Tělovýchovná jednota Horní Libchava z.s.</t>
  </si>
  <si>
    <t>Vaše bezpečí, z. s.</t>
  </si>
  <si>
    <t>Český kynologický svaz ZKO Valkeřice -1077</t>
  </si>
  <si>
    <t>Horní Police</t>
  </si>
  <si>
    <t>Klub rybolovné techniky a lovu ryb udicí Horní Police Dravci od Ploučnice</t>
  </si>
  <si>
    <t>Myslivecký spolek Babylon Oslovice, z.s.</t>
  </si>
  <si>
    <t>Myslivecký spolek "Lišáci" Horní Police</t>
  </si>
  <si>
    <t>Občanské sdružení Zirkon</t>
  </si>
  <si>
    <t>Římskokatolická farnost - arciděkanství Horní Police</t>
  </si>
  <si>
    <t>Sdružení rodičů při ZŠ Horní Police</t>
  </si>
  <si>
    <t>Svaz marginálních oblastí, z.s.</t>
  </si>
  <si>
    <t>TJ SOKOL, Horní Police, z.s.</t>
  </si>
  <si>
    <t>FRAGMENT</t>
  </si>
  <si>
    <t>Horní Řasnice</t>
  </si>
  <si>
    <t>LOKOMOTIVA Horní Řasnice z.s.</t>
  </si>
  <si>
    <t>Na pomezí z. s.</t>
  </si>
  <si>
    <t>SH ČMS - Sbor dobrovolných hasičů Horní Řasnice</t>
  </si>
  <si>
    <t>Spolek pro obnovu kostela v Horní Řasnici</t>
  </si>
  <si>
    <t>Hruboskalák, z.s.</t>
  </si>
  <si>
    <t>Hrubá Skála</t>
  </si>
  <si>
    <t>Hruboskalský tenisový klub z.s.</t>
  </si>
  <si>
    <t>Jezdecký klub MIRA Hnanice z. s.</t>
  </si>
  <si>
    <t>Myslivecké sdružení Radeč, z.s.</t>
  </si>
  <si>
    <t>Myslivecké sdružení Valdštejn, z.s.</t>
  </si>
  <si>
    <t>Myslivecký spolek Borecké skály</t>
  </si>
  <si>
    <t>Myslivecký spolek Radvánovice</t>
  </si>
  <si>
    <t>Nadace B.Jana Horáčka Českému Ráji</t>
  </si>
  <si>
    <t>RÁJ v likvidaci</t>
  </si>
  <si>
    <t>SH ČMS - Sbor dobrovolných hasičů Hnanice</t>
  </si>
  <si>
    <t>SH ČMS - Sbor dobrovolných hasičů Hrubá Skála</t>
  </si>
  <si>
    <t>SH ČMS - Sbor dobrovolných hasičů Krčkovice</t>
  </si>
  <si>
    <t>Tělovýchovná jednota Český Ráj, spolek</t>
  </si>
  <si>
    <t>AUTOKLUB HRÁDEK</t>
  </si>
  <si>
    <t>Hrádek nad Nisou</t>
  </si>
  <si>
    <t>Bez hranic</t>
  </si>
  <si>
    <t>Bicom Fight Centrum Hrádek nad Nisou z.s.</t>
  </si>
  <si>
    <t>Bílá Růže, z.s.</t>
  </si>
  <si>
    <t>Chotyňky z.s.</t>
  </si>
  <si>
    <t>Chrámový sbor kostela sv. Bartoloměje v Hrádku nad Nisou</t>
  </si>
  <si>
    <t>CONVICTUS-r.s.</t>
  </si>
  <si>
    <t>Country Club Ranch spolek</t>
  </si>
  <si>
    <t>Cvičení Lída - Hrádek z.s.</t>
  </si>
  <si>
    <t>Českomoravský odborový svaz pracovníků školství Krajská organizační jednotka Liberec</t>
  </si>
  <si>
    <t>Český kynologický svaz ZKO Hrádek nad Nisou - 521</t>
  </si>
  <si>
    <t>Český rybářský svaz, z. s., místní organizace Hrádek nad Nisou</t>
  </si>
  <si>
    <t>Český svaz chovatelů, z.s., Základní organizace Hrádek nad Nisou</t>
  </si>
  <si>
    <t>Český svaz včelařů, z.s., základní organizace Hrádek nad Nisou</t>
  </si>
  <si>
    <t>Dechový a taneční orchestr Hradecká 13</t>
  </si>
  <si>
    <t>Divadelní spolek VOJAN Hrádek nad Nisou</t>
  </si>
  <si>
    <t>"Dynamic Line z.s."</t>
  </si>
  <si>
    <t>Federace strojvůdců České republiky, základní organizace Hrádek nad Nisou - Trilex</t>
  </si>
  <si>
    <t>FK SLOVAN Hrádek nad Nisou 1910 z.s.</t>
  </si>
  <si>
    <t>GYPSY LEGEND z.s.</t>
  </si>
  <si>
    <t>HáDě.Hrádek</t>
  </si>
  <si>
    <t>HC DRACI Hrádek nad Nisou</t>
  </si>
  <si>
    <t>Honební společenstvo Chotyně</t>
  </si>
  <si>
    <t>Honební společenstvo Hrádek nad Nisou - Václavice</t>
  </si>
  <si>
    <t>Hrádecká malá kopaná</t>
  </si>
  <si>
    <t>Hrádek - naše město</t>
  </si>
  <si>
    <t>"Hrádek potřebuje změny! z.s."</t>
  </si>
  <si>
    <t>Hudební skupina S.A.M. Hrádek nad Nisou</t>
  </si>
  <si>
    <t>iv 1210, z.s.</t>
  </si>
  <si>
    <t>Jachetní klub Kristýna Hrádek nad Nisou, z. s.</t>
  </si>
  <si>
    <t>Jednota bratrská Hrádek nad Nisou</t>
  </si>
  <si>
    <t>Ještědské kynologické a sportovní centrum, z.s.</t>
  </si>
  <si>
    <t>JK Slunečná, o.s.</t>
  </si>
  <si>
    <t>Junák - český skaut, středisko Chotyně, z. s.</t>
  </si>
  <si>
    <t>KABINET TROJZEMÍ - středisko Husitské diakonie</t>
  </si>
  <si>
    <t>KČT, odbor Hrádek nad Nisou</t>
  </si>
  <si>
    <t>KHV Hrádek nad Nisou z.s.</t>
  </si>
  <si>
    <t>Klub horolezců Hrádek z.s.</t>
  </si>
  <si>
    <t>KLUB PŘÁTEL PLECHOVÝCH STAŘEČKŮ  z. s.</t>
  </si>
  <si>
    <t>Klub sběratelů palných zbraní ČR, z.s.</t>
  </si>
  <si>
    <t>Klub seniorů Hrádek, z.s. v likvidaci</t>
  </si>
  <si>
    <t>Klub vojáků v záloze Hrádek nad Nisou</t>
  </si>
  <si>
    <t>KRÁĽOVSKÝ CECH MAJSTROV REMESLA ZLATOKOPECKÉHO, pobočný spolek</t>
  </si>
  <si>
    <t>Zahraniční pobočný spolek</t>
  </si>
  <si>
    <t>Křesťanský sbor Liberec</t>
  </si>
  <si>
    <t>Kulturní centrum Olympia</t>
  </si>
  <si>
    <t>Kynologický klub Armády České republiky</t>
  </si>
  <si>
    <t>Liga nespokojených občanů města Hrádek nad Nisou</t>
  </si>
  <si>
    <t>LUKE Václavice, spolek</t>
  </si>
  <si>
    <t>Lužický sportovní spolek</t>
  </si>
  <si>
    <t>Maják Hrádek z.ú.</t>
  </si>
  <si>
    <t>Mariana &amp; Sabina, z.s.</t>
  </si>
  <si>
    <t>Mateřské centrum Korálek z.s.</t>
  </si>
  <si>
    <t>MKH - Motokros klub Hrádek nad Nisou</t>
  </si>
  <si>
    <t>MŐBIUS III.</t>
  </si>
  <si>
    <t>MOTOSPORT KLUB V AČR</t>
  </si>
  <si>
    <t>MS Lišák Václavice</t>
  </si>
  <si>
    <t>Multisport Team, z. s.</t>
  </si>
  <si>
    <t>Myslivecké sdružení Hubert - Osečná</t>
  </si>
  <si>
    <t>Myslivecký spolek Soják Hrádek</t>
  </si>
  <si>
    <t>Náboženská obec Církve československé husitské v Hrádku nad Nisou</t>
  </si>
  <si>
    <t>Národní střelecká asociace, z.s.</t>
  </si>
  <si>
    <t>Občané Oldřichova</t>
  </si>
  <si>
    <t>Občanské sdružení Přátelé Domu dětí a mládeže Hrádek nad Nisou</t>
  </si>
  <si>
    <t>Orel jednota Hrádek nad Nisou</t>
  </si>
  <si>
    <t>Osada Uhelná</t>
  </si>
  <si>
    <t>Paintball klub Hrádek nad Nisou</t>
  </si>
  <si>
    <t>POO OS TOK ELAS výroba stuh</t>
  </si>
  <si>
    <t>Přátelé hradu Grabštejn</t>
  </si>
  <si>
    <t>Rising Stars z. s.</t>
  </si>
  <si>
    <t>ROMANE PAŠUTNE, z. s.</t>
  </si>
  <si>
    <t>Romská misijní společnost a společenství BETÁNIE, občanské sdružení</t>
  </si>
  <si>
    <t>Římskokatolická farnost Bílý Kostel nad Nisou</t>
  </si>
  <si>
    <t>Římskokatolická farnost Chrastava</t>
  </si>
  <si>
    <t>Římskokatolická farnost Hrádek nad Nisou</t>
  </si>
  <si>
    <t>Římskokatolická farnost Nová Ves u Chrastavy</t>
  </si>
  <si>
    <t>Římskokatolická farnost Václavice</t>
  </si>
  <si>
    <t>Římskokatolická farnost Vítkov u Chrastavy</t>
  </si>
  <si>
    <t>SDog.net</t>
  </si>
  <si>
    <t>Sdružení pro aktivní využití volného času dětí a mládeže</t>
  </si>
  <si>
    <t>SERAPIS, o.s.</t>
  </si>
  <si>
    <t>SH ČMS - Sbor dobrovolných hasičů Dolní Sedlo</t>
  </si>
  <si>
    <t>SH ČMS - Sbor dobrovolných hasičů Hrádek nad Nisou</t>
  </si>
  <si>
    <t>SHC SPORT-N HRÁDEK N. NISOU</t>
  </si>
  <si>
    <t>Skate bike club Hrádek</t>
  </si>
  <si>
    <t>SKUPINA TECHNICKÉ POMOCI z.s.</t>
  </si>
  <si>
    <t>SOLIS, o.s.</t>
  </si>
  <si>
    <t>Sousedský spolek Uhelná</t>
  </si>
  <si>
    <t>Soužití - Trojzemí</t>
  </si>
  <si>
    <t>Společnost pro kulturní krajinu z.s.</t>
  </si>
  <si>
    <t>Společnost pro Lužické hory z.s.</t>
  </si>
  <si>
    <t>Spolek Česko-německých cestovatelů</t>
  </si>
  <si>
    <t>Spolek HRÁDEK n. N. - OSTROV ŽIVOTA, z.s.</t>
  </si>
  <si>
    <t>Spolek otužilců Hrádek nad Nisou</t>
  </si>
  <si>
    <t>Spolek posledního kočáru</t>
  </si>
  <si>
    <t>Spolek pro rozvoj country hudby C &amp; W VOBUTY</t>
  </si>
  <si>
    <t>Spolek pro zdraví a pohyb, z.s.</t>
  </si>
  <si>
    <t>Spolek rodičů a přátel ZŠ T.G.Masaryka Hrádek nad Nisou</t>
  </si>
  <si>
    <t>Spolek vojenské historie Liberec</t>
  </si>
  <si>
    <t>SPORTCENTRUM "H"</t>
  </si>
  <si>
    <t>Sportovní klub KRISTÝNA, z.s.</t>
  </si>
  <si>
    <t>Činnosti pro osobní a fyzickou pohodu</t>
  </si>
  <si>
    <t>Sportovní klub kulturistiky Hrádek nad Nisou z. s.</t>
  </si>
  <si>
    <t>Sportovní klub TENIS Hrádek nad Nisou</t>
  </si>
  <si>
    <t>Starostové pro Liberecký kraj</t>
  </si>
  <si>
    <t>Politická strana, politické hnutí</t>
  </si>
  <si>
    <t>Činnosti politických stran a organizací</t>
  </si>
  <si>
    <t>Svaz postižených civilizačními chorobami v ČR, z.s., základní organizace Hrádek nad Nisou</t>
  </si>
  <si>
    <t>Taneční skupina Mix dance z.s.</t>
  </si>
  <si>
    <t>TECHNICKÉ MUZEUM HRÁDEK z.s.</t>
  </si>
  <si>
    <t>Tenisové centrum Euroregion Nisa z.s.</t>
  </si>
  <si>
    <t>TJ Jiskra Václavice</t>
  </si>
  <si>
    <t>TK Hrádek nad Nisou</t>
  </si>
  <si>
    <t>TTC Hrádek nad Nisou, z.s.</t>
  </si>
  <si>
    <t>Volejbalový klub Hrádek nad Nisou, z. s.</t>
  </si>
  <si>
    <t>Wohlmannův statek z.s.</t>
  </si>
  <si>
    <t>Za důstojný domov, z.s.</t>
  </si>
  <si>
    <t>Sociální péče v domovech pro seniory</t>
  </si>
  <si>
    <t>Za rozvoj Hrádecka</t>
  </si>
  <si>
    <t>Základní kynologická organizace Hrádek nad Nisou</t>
  </si>
  <si>
    <t>Základní organizace odborového svazu pracovníků školství při Mateřské škole v Oldřichově ulici</t>
  </si>
  <si>
    <t>Základní organizace odborového svazu pracovníků školství při Základní škole Komenského ulici v Hrádku</t>
  </si>
  <si>
    <t>Základní organizace odborového svazu pracovníků školství při Základní škole v Lidické ulicic</t>
  </si>
  <si>
    <t>Základní organizace OS KOVO KSM Castings</t>
  </si>
  <si>
    <t>"Země dětí, o. s."</t>
  </si>
  <si>
    <t>ZEN-JUDO</t>
  </si>
  <si>
    <t>Český svaz včelařů, z.s., základní organizace Loukov</t>
  </si>
  <si>
    <t>Háje nad Jizerou</t>
  </si>
  <si>
    <t>Divadelní spolek PODHORAN</t>
  </si>
  <si>
    <t>Fan klub rodičů a přátel dětí při ZŠ Loukov, z. s.</t>
  </si>
  <si>
    <t>HeRo Pomoc bez hranic z. s.</t>
  </si>
  <si>
    <t>HONEBNÍ SPOLEČENSTVO HÁJE NAD JIZEROU</t>
  </si>
  <si>
    <t>Jezdecký klub Equibona z.s.</t>
  </si>
  <si>
    <t>Krajina pod Smrkem z.s.</t>
  </si>
  <si>
    <t>Myslivecký spolek Háje nad Jizerou</t>
  </si>
  <si>
    <t>SH ČMS - Sbor dobrovolných hasičů Dolní Sytová</t>
  </si>
  <si>
    <t>SH ČMS - Sbor dobrovolných hasičů Loukov</t>
  </si>
  <si>
    <t>SH ČMS - Sbor dobrovolných hasičů Rybnice</t>
  </si>
  <si>
    <t>SOKOL Dolní Sytová z.s.</t>
  </si>
  <si>
    <t>Spolek Motoklub Loukov</t>
  </si>
  <si>
    <t>CAF Bratrouchov z.s.</t>
  </si>
  <si>
    <t>Jablonec nad Jizerou</t>
  </si>
  <si>
    <t>Český svaz včelařů, z.s., základní organizace Jablonec nad Jizerou</t>
  </si>
  <si>
    <t>Jezdecké stezky Libereckého kraje, zapsaný spolek</t>
  </si>
  <si>
    <t>Motosportklub Jablonec nad Jizerou z.s.</t>
  </si>
  <si>
    <t>Myslivecký spolek Hořec Jablonec nad Jizerou</t>
  </si>
  <si>
    <t>Oblastní spolek Českého červeného kříže Semily</t>
  </si>
  <si>
    <t>Římskokatolická farnost Jablonec nad Jizerou</t>
  </si>
  <si>
    <t>Římskokatolická farnost Poniklá</t>
  </si>
  <si>
    <t>SH ČMS - Sbor dobrovolných hasičů Blansko</t>
  </si>
  <si>
    <t>SH ČMS - Sbor dobrovolných hasičů Buřany</t>
  </si>
  <si>
    <t>SH ČMS - Sbor dobrovolných hasičů Jablonec nad Jizerou</t>
  </si>
  <si>
    <t>Societas nostra, z.s.</t>
  </si>
  <si>
    <t>Společnost pro Bratrouchov v likvidaci</t>
  </si>
  <si>
    <t>TJ Sokol Jablonec nad Jizerou, z.s.</t>
  </si>
  <si>
    <t>Základní organizace odborového svazu pracovníků státních orgánů a organizací při MÚ Jablonec nad Jizerou</t>
  </si>
  <si>
    <t>Základní organizace ZŠ, MŠ a ZUŠ Jablonec nad Jizerou</t>
  </si>
  <si>
    <t>AC Jablonec nad Nisou, z. s.</t>
  </si>
  <si>
    <t>Jablonec nad Nisou</t>
  </si>
  <si>
    <t>AHA Jablonec z.s.</t>
  </si>
  <si>
    <t>Akademie romského talentu z.s.</t>
  </si>
  <si>
    <t>Aktivní zálohy KVV Liberec, z.s.</t>
  </si>
  <si>
    <t>Alegras z.s.</t>
  </si>
  <si>
    <t>Umělecká tvorba</t>
  </si>
  <si>
    <t>Andy&amp;Belis dance work z. s.</t>
  </si>
  <si>
    <t>Apoštolská církev, sbor Jablonec nad Nisou</t>
  </si>
  <si>
    <t>ART BELLA o.s.</t>
  </si>
  <si>
    <t>ARTEFAKTUM - CZ, z.s.</t>
  </si>
  <si>
    <t>Asociace pro osobní a profesní rozvoj ČR</t>
  </si>
  <si>
    <t>Asociace pro rozvoj obchodních příležitostí z.s.</t>
  </si>
  <si>
    <t>Asociace rodičů a přátel zdravotně postižených dětí v ČR, z.s. Klub Jablonec nad Nisou</t>
  </si>
  <si>
    <t>Asociace romských představitelů Libereckého kraje, z.s.</t>
  </si>
  <si>
    <t>Asociace TOM ČR, TOM 9935 PERLIČKY</t>
  </si>
  <si>
    <t>Asociace umělců medailerů z.s.</t>
  </si>
  <si>
    <t>ASTMÁLEK z.s.</t>
  </si>
  <si>
    <t>Autoclub LIAZ</t>
  </si>
  <si>
    <t>AUTOKLUB JABLONEC NAD NISOU v AČR</t>
  </si>
  <si>
    <t>BAJER JBC</t>
  </si>
  <si>
    <t>Baseball club Blesk Jablonec nad Nisou z.s.</t>
  </si>
  <si>
    <t>Beachvolleyball - sportovní, kulturní a osvětový spolek</t>
  </si>
  <si>
    <t>Beer run, z.s.</t>
  </si>
  <si>
    <t>Běhámespolu.cz, z.s.</t>
  </si>
  <si>
    <t>Běhy pro radost, z.s.</t>
  </si>
  <si>
    <t>"BKL-racing team"</t>
  </si>
  <si>
    <t>BMW STARS</t>
  </si>
  <si>
    <t>BOBSLEIGH JABLONEC, z.s.</t>
  </si>
  <si>
    <t>BONGO Liberec, z.s.</t>
  </si>
  <si>
    <t>Bowlingový klub Liberec</t>
  </si>
  <si>
    <t>Bronec Sport Racing z.s.</t>
  </si>
  <si>
    <t>BUBLINA-JBC, z.s.</t>
  </si>
  <si>
    <t>Cech kominíků Jablonecka</t>
  </si>
  <si>
    <t>Chraň les, z.s.</t>
  </si>
  <si>
    <t>CORK MASTERS JABLONEC</t>
  </si>
  <si>
    <t>Countryon, z.s.</t>
  </si>
  <si>
    <t>CSKA Jablonec n.N., o.s.</t>
  </si>
  <si>
    <t>Cumulus</t>
  </si>
  <si>
    <t>Czech MultiSport Coaching, z.s. (CMS, z.s.)</t>
  </si>
  <si>
    <t>Červený trpaslík, zapsaný ústav</t>
  </si>
  <si>
    <t>Česká Asociace Capoeiry z.s.</t>
  </si>
  <si>
    <t>Česká křesťanská environmentální síť, z.s.</t>
  </si>
  <si>
    <t>Česká lékařská komora se sídlem v Olomouci, okresní sdružení Jablonec nad Nisou</t>
  </si>
  <si>
    <t>Stavovská organizace - profesní komora</t>
  </si>
  <si>
    <t>ČESKÁ LYŽAŘSKÁ SPOLEČNOST, z. s.</t>
  </si>
  <si>
    <t>Česká numismatická společnost, z.s. pobočka Liberec - Jablonec nad Nisou</t>
  </si>
  <si>
    <t>Česká sklářská společnost, z.s.</t>
  </si>
  <si>
    <t>Česká sportovní střelecká federace, z. s.</t>
  </si>
  <si>
    <t>ČESKÉ SDRUŽENÍ NA OCHRANU KVALITY NÁPOJŮ, z.s.</t>
  </si>
  <si>
    <t>Českomoravská myslivecká jednota, z.s., okresní myslivecký spolek Jablonec nad Nisou</t>
  </si>
  <si>
    <t>"Český křeččí klub, z. s."</t>
  </si>
  <si>
    <t>Český kynologický svaz Základní kynologická organizace č . 657 Jablonec nad Nisou - Na Domovině</t>
  </si>
  <si>
    <t>Český kynologický svaz ZKO Jablonec nad Nisou - Lukášov - 620</t>
  </si>
  <si>
    <t>Český kynologický svaz ZKO Jablonec nad Nisou - Vrkoslavice - 759</t>
  </si>
  <si>
    <t>Český rybářský svaz, z. s., místní organizace Jablonec nad Nisou</t>
  </si>
  <si>
    <t>Český řemeslný klastr, o. s.</t>
  </si>
  <si>
    <t>Český svaz chovatelů, z.s., Okresní organizace Jablonec nad Nisou</t>
  </si>
  <si>
    <t>Český svaz chovatelů, z.s., Základní organizace Mšeno nad Nisou</t>
  </si>
  <si>
    <t>Český svaz ochránců přírody KOKONÍN</t>
  </si>
  <si>
    <t>Český svaz Shaolin Kempo</t>
  </si>
  <si>
    <t>Český svaz včelařů, z.s., okresní organizace Jablonec nad Nisou</t>
  </si>
  <si>
    <t>Český svaz včelařů, z.s., základní organizace Jablonec nad Nisou</t>
  </si>
  <si>
    <t>Český vzdělávací institut, o.s.</t>
  </si>
  <si>
    <t>ČLOVĚK ČLOVĚKU</t>
  </si>
  <si>
    <t>ČLTK Bižuterie Jablonec n.N., z.s.</t>
  </si>
  <si>
    <t>ČSS, z.s. - SSK LOYD</t>
  </si>
  <si>
    <t>DC NEZNÁLEK z. s.</t>
  </si>
  <si>
    <t>D.E.A.W.S. POTÁPĚČSKÝ KLUB, p.s.</t>
  </si>
  <si>
    <t>Dětská skupina Notičky z.s.</t>
  </si>
  <si>
    <t>Dětský pěvecký sbor "SKŘIVÁNEK", z.s.</t>
  </si>
  <si>
    <t>Diakonie ČCE - středisko v Jablonci nad Nisou</t>
  </si>
  <si>
    <t>DIANA  spolek rodičů a přátel zdravotně postižených</t>
  </si>
  <si>
    <t>Discgolf Club Jablonec, z. s.</t>
  </si>
  <si>
    <t>DIV z. s.</t>
  </si>
  <si>
    <t>Divadelní spolek BRČÁL</t>
  </si>
  <si>
    <t>Divadelní spolek loutkářů VOZICHET z Jablonce nad Nisou</t>
  </si>
  <si>
    <t>Dolina, Jablonec nad Nisou</t>
  </si>
  <si>
    <t>DOMINO DOUBÍ z.s.</t>
  </si>
  <si>
    <t>Domov Jablonec</t>
  </si>
  <si>
    <t>Domov nad Nisou</t>
  </si>
  <si>
    <t>Domov seniorů U Přehrady, z. s.</t>
  </si>
  <si>
    <t>Sociální péče v domovech pro seniory a osoby se zdravotním postižením</t>
  </si>
  <si>
    <t>Dopravní výbor, z.s.</t>
  </si>
  <si>
    <t>Dračí lodě, z.s.</t>
  </si>
  <si>
    <t>Dům česko-německého porozumění o.p.s.</t>
  </si>
  <si>
    <t>EduSport</t>
  </si>
  <si>
    <t>EKKO, Jablonec nad Nisou</t>
  </si>
  <si>
    <t>ELEVEN-RUBENA TEST TEAM</t>
  </si>
  <si>
    <t>ENDUROKLUB JABLONEC N/NISOU</t>
  </si>
  <si>
    <t>Equi Academy z.s.</t>
  </si>
  <si>
    <t>ERAWAN GYM</t>
  </si>
  <si>
    <t>Eruditus - Kruh přátel školy, spolek</t>
  </si>
  <si>
    <t>Podpůrné činnosti ve vzdělávání</t>
  </si>
  <si>
    <t>EUROPE4UKRAINE, z. s.</t>
  </si>
  <si>
    <t>EVANGELIKÁLNÍ BAPTISTÉ JABLONEC, z.s.</t>
  </si>
  <si>
    <t>Ex - production, o.s.</t>
  </si>
  <si>
    <t>Exadversus z. s.</t>
  </si>
  <si>
    <t>Experiment 23, z.s.</t>
  </si>
  <si>
    <t>Fanatics of Motorsport, z.s.</t>
  </si>
  <si>
    <t>FanDej ývents JBC z.s.</t>
  </si>
  <si>
    <t>Fanklub FK Jablonec, o. s.</t>
  </si>
  <si>
    <t>Farní sbor Českobratrské církve evangelické v Jablonci nad Nisou</t>
  </si>
  <si>
    <t>FBC CampuS JABLONEC n.N.</t>
  </si>
  <si>
    <t>FinanGram z. s.</t>
  </si>
  <si>
    <t>Fitness Life Liberec, z.s.</t>
  </si>
  <si>
    <t>Fitness studio Jablonec nad Nisou</t>
  </si>
  <si>
    <t>FK Břízky Jablonec n.N.</t>
  </si>
  <si>
    <t>FK GMMultimedia Jablonec, z.s.</t>
  </si>
  <si>
    <t>FK Jiskra Mšeno-Jablonec n.N., z.s.</t>
  </si>
  <si>
    <t>FLORBAL JABLONEC, z. s.</t>
  </si>
  <si>
    <t>Folklorní sdružení regionu Severovýchodní Čechy</t>
  </si>
  <si>
    <t>Folklorní soubor Nisanka, z.s.</t>
  </si>
  <si>
    <t>Folklorní soubor ŠAFRÁN</t>
  </si>
  <si>
    <t>Fotbalová akademie Jablonec, z.s.</t>
  </si>
  <si>
    <t>Fotbalový Klub UNITHERM o.s.</t>
  </si>
  <si>
    <t>Fotoklub Balvan Jablonec nad Nisou, z.s.</t>
  </si>
  <si>
    <t>FOTOKLUB NEKRAS z.s.</t>
  </si>
  <si>
    <t>Foxík z.s.</t>
  </si>
  <si>
    <t>Free Time Activities o.s.</t>
  </si>
  <si>
    <t>Free Time Activities z.s.</t>
  </si>
  <si>
    <t>FreeRun &amp; ZuFuss z.s.</t>
  </si>
  <si>
    <t>Freestyle klub Jablonec, z.s.</t>
  </si>
  <si>
    <t>"Fretky na půdě"</t>
  </si>
  <si>
    <t>FUNFÁN, o.s.</t>
  </si>
  <si>
    <t>Fúze Fest z. s.</t>
  </si>
  <si>
    <t>GablonCZ z.s. v likvidaci</t>
  </si>
  <si>
    <t>GAMECITY Jablonec nad Nisou</t>
  </si>
  <si>
    <t>GASTRO</t>
  </si>
  <si>
    <t>GLOBAL PAKR KLUB V AČR</t>
  </si>
  <si>
    <t>Gospel Yetu Jablonec, z.s.</t>
  </si>
  <si>
    <t>Harant Pecka, z. s.</t>
  </si>
  <si>
    <t>Hasiči Jablonec nad Nisou - Paseky</t>
  </si>
  <si>
    <t>HC GEPARDI JABLONEC NAD NISOU z.s.</t>
  </si>
  <si>
    <t>HC Vorvani, o.s.</t>
  </si>
  <si>
    <t>Heroldi Motocyklový klub</t>
  </si>
  <si>
    <t>HEXAGRAM</t>
  </si>
  <si>
    <t>HolkOFF z.s.</t>
  </si>
  <si>
    <t>Honební společenstvo Rychnov u Jablonce n.N.</t>
  </si>
  <si>
    <t>Horse soul brand z.s.</t>
  </si>
  <si>
    <t>IMBA ČR, o. s.</t>
  </si>
  <si>
    <t>IMBA Europe Services, o.s.</t>
  </si>
  <si>
    <t>"IMPSQUAD"</t>
  </si>
  <si>
    <t>Institut nové informatiky z. ú.</t>
  </si>
  <si>
    <t>Institut pro rozvoj virtuálních měn z.s.</t>
  </si>
  <si>
    <t>Institut sportovních talentů z. s.</t>
  </si>
  <si>
    <t>Integrace CZ z.s. v likvidaci</t>
  </si>
  <si>
    <t>IRON Fighters, z.s.</t>
  </si>
  <si>
    <t>IRSKÉ SESTRY, taneční skupina, zapsaný spolek</t>
  </si>
  <si>
    <t>Jablíčko - centrum pro rodinu, z.s.</t>
  </si>
  <si>
    <t>"Jablko"</t>
  </si>
  <si>
    <t>Jablonec - Tichá z.s.</t>
  </si>
  <si>
    <t>Jablonec bez hazardu z.s.</t>
  </si>
  <si>
    <t>Jablonec Jinak, z.ú.</t>
  </si>
  <si>
    <t>Jablonec 2010, z.s.</t>
  </si>
  <si>
    <t>Jablonecká dřevěná píšťalka</t>
  </si>
  <si>
    <t>JABLONECKÁ JAZZOVÁ SPOLEČNOST</t>
  </si>
  <si>
    <t>Jablonecká KOSA z.s.</t>
  </si>
  <si>
    <t>Jablonecká kultura</t>
  </si>
  <si>
    <t>Jablonecká kulturní obec, z.s.</t>
  </si>
  <si>
    <t>Jablonecká odborová organizace bezpečnostních sborů</t>
  </si>
  <si>
    <t>Jablonecká přehrada, z.s.</t>
  </si>
  <si>
    <t>Jablonecké sdružení přátel chůze</t>
  </si>
  <si>
    <t>Jablonecké stavební sdružení</t>
  </si>
  <si>
    <t>JABLONECKÝ DĚTSKÝ KLUB</t>
  </si>
  <si>
    <t>Jablonecký podnikatelský klub</t>
  </si>
  <si>
    <t>Jablonecký spolek onkologických pacientů JAKOP</t>
  </si>
  <si>
    <t>Jablonecký spolek účetních a ekonomů, z.s.</t>
  </si>
  <si>
    <t>Jablonecký zastupitel</t>
  </si>
  <si>
    <t>JABLONEČANKA-dechová hudba z.s.</t>
  </si>
  <si>
    <t>JAPKO z.s.</t>
  </si>
  <si>
    <t>JBC SUP club z.s.</t>
  </si>
  <si>
    <t>JELEN ZA OPONOU, zapsaný spolek</t>
  </si>
  <si>
    <t>Jezdecký klub U bílého vlka z.s.</t>
  </si>
  <si>
    <t>JiFiS - Jizerský filmový spolek</t>
  </si>
  <si>
    <t>"Jirka Krytinář-lidem"</t>
  </si>
  <si>
    <t>Jizera-klub Jablonec nad Nisou</t>
  </si>
  <si>
    <t>JIZERSKÝ DRAK, spolek</t>
  </si>
  <si>
    <t>Jižní Čechy 2000</t>
  </si>
  <si>
    <t>JK Pohoda Kynast, spolek</t>
  </si>
  <si>
    <t>JK Voltiž Lordi, z.s.</t>
  </si>
  <si>
    <t>JPJ Jablonec nad Nisou</t>
  </si>
  <si>
    <t>„JRS Medical, o. s.”</t>
  </si>
  <si>
    <t>Judo klub Jablonec nad Nisou, z.s.</t>
  </si>
  <si>
    <t>Junák - český skaut, středisko Jablonec nad Nisou, z. s.</t>
  </si>
  <si>
    <t>Juvena, Jablonec nad Nisou</t>
  </si>
  <si>
    <t>KBU Kyudokan Higa Te, z. s.</t>
  </si>
  <si>
    <t>KC Jablonec nad Nisou, z.s.</t>
  </si>
  <si>
    <t>KDH Legenda z.s.</t>
  </si>
  <si>
    <t>Klub ART Jablonec, z. s.</t>
  </si>
  <si>
    <t>Klub biatlonu Jablonec nad Nisou</t>
  </si>
  <si>
    <t>Klub biatlonu Jablonec nad Nisou, p.s.</t>
  </si>
  <si>
    <t>Klub biatlonu SG Jablonec, p.s.</t>
  </si>
  <si>
    <t>Klub cyklistů pivovar Vratislavice, z. s.</t>
  </si>
  <si>
    <t>Klub Hudební mládeže Jablonec nad Nisou</t>
  </si>
  <si>
    <t>Klub lodních modelářů Admiral p.s.</t>
  </si>
  <si>
    <t>KLUB LYŽOVÁNÍ PŘI SPORTOVNÍM GYMNÁZIU JABLONEC NAD NISOU, z. s.</t>
  </si>
  <si>
    <t>Klub přátel perlí a perliček</t>
  </si>
  <si>
    <t>Klub přátel při 3. ZŠ Jablonec nad Nisou</t>
  </si>
  <si>
    <t>Klub přátel školy při ZŠ dr. Randy l3, Jablonec nad Nisou</t>
  </si>
  <si>
    <t>Klub rodičů a přátel dětí s alergickým onemocněním</t>
  </si>
  <si>
    <t>Klub rodičů a přátel při 28. MŠ, spolek</t>
  </si>
  <si>
    <t>Klub rodičů a přátel SUPŠ bižuterní Jablonec nad Nisou</t>
  </si>
  <si>
    <t>Klub sportovní střelby LOYD Jablonec nad Nisou, z. s.</t>
  </si>
  <si>
    <t>KOALA</t>
  </si>
  <si>
    <t>Kokonín z.s.</t>
  </si>
  <si>
    <t>Kokonín 2000, z.s.</t>
  </si>
  <si>
    <t>Kolegium podlahářů</t>
  </si>
  <si>
    <t>Kolegium pro prevenci kriminality</t>
  </si>
  <si>
    <t>Komora podniků komerční bezpečnosti severovýchodních Čech "SECURITY SERVICE"</t>
  </si>
  <si>
    <t>Bezpečnostní a pátrací činnosti</t>
  </si>
  <si>
    <t>Kopec Na Výsluní, z.s.</t>
  </si>
  <si>
    <t>KOPKA &amp; WIDE BIKE CLUB, z. s.</t>
  </si>
  <si>
    <t>KOVOM RACING TEAM LIBEREC z.s.</t>
  </si>
  <si>
    <t>Krajská organizace ČSŽ Liberecký kraj</t>
  </si>
  <si>
    <t>Kruh přátel DPS Vrabčáci, z. s.</t>
  </si>
  <si>
    <t>Křesťanský sbor Dobrá zpráva, z.s.</t>
  </si>
  <si>
    <t>Kulturní Klub Sever, z.s.</t>
  </si>
  <si>
    <t>Labsko - Vltavský světelně technický spolek, v likvidaci</t>
  </si>
  <si>
    <t>Liberecká krajská organizace SVV ČR, p.s.</t>
  </si>
  <si>
    <t>Liberecké sdružení pro pomoc zvířatům v nouzi</t>
  </si>
  <si>
    <t>Liberecký krajský svaz ČAK, z.s.</t>
  </si>
  <si>
    <t>Liga na ochranu zvířat ČR členská organizace Jablonec nad Nisou</t>
  </si>
  <si>
    <t>LITTLE RIDERS z.s.</t>
  </si>
  <si>
    <t>Loggicuss, z. s.</t>
  </si>
  <si>
    <t>Lokální agenda 21 - Klub Na Rampě</t>
  </si>
  <si>
    <t>Mad Ruffians o.s.</t>
  </si>
  <si>
    <t>Makarine, z. s.</t>
  </si>
  <si>
    <t>MAS Železnobrodsko</t>
  </si>
  <si>
    <t>MATES z.s.</t>
  </si>
  <si>
    <t>Městská galerie MY, z.s.</t>
  </si>
  <si>
    <t>Milujeme Jizerky, z. s.</t>
  </si>
  <si>
    <t>Minerál klub, z. s. Jablonec nad Nisou</t>
  </si>
  <si>
    <t>Minoritní akcionáři ČEZ, a.s., z.s.</t>
  </si>
  <si>
    <t>Mistrovská škola řemesel a umění, z.ú.</t>
  </si>
  <si>
    <t>Mladá dechovka Jablonec, spolek</t>
  </si>
  <si>
    <t>Montessori centrum pro dítě a rodinu</t>
  </si>
  <si>
    <t>Montessori ČR - MŠ, z.s.</t>
  </si>
  <si>
    <t>Montessori na dlani z.s.</t>
  </si>
  <si>
    <t>Montessori prostor z. s.</t>
  </si>
  <si>
    <t>Montessori, z. s.</t>
  </si>
  <si>
    <t>Most mezilidských vztahů města Jablonec nad Nisou</t>
  </si>
  <si>
    <t>MTB klub Rychlá Rota, z.s.</t>
  </si>
  <si>
    <t>Muhu, z. s.</t>
  </si>
  <si>
    <t>MusicaVaria, z. s.</t>
  </si>
  <si>
    <t>MUZEUM OBRNĚNÉ TECHNIKY SMRŽOVKA z. s.</t>
  </si>
  <si>
    <t>My Kokonín z.s.</t>
  </si>
  <si>
    <t>Myslivecký spolek Diana Liberec</t>
  </si>
  <si>
    <t>Náboženská obec Církve československé husitské v Držkově</t>
  </si>
  <si>
    <t>Náboženská obec Církve československé husitské v Jablonci nad Nisou</t>
  </si>
  <si>
    <t>Náboženská obec Církve československé husitské ve Velkých Hamrech</t>
  </si>
  <si>
    <t>Nadace JABLOTRON</t>
  </si>
  <si>
    <t>Nadace nemocnice v Jablonci nad Nisou</t>
  </si>
  <si>
    <t>Nadace PRECIOSA</t>
  </si>
  <si>
    <t>Nadační fond Archanděl</t>
  </si>
  <si>
    <t>Nadační fond Bronec sport pomáhá</t>
  </si>
  <si>
    <t>Nadační fond Ing. Mirko Valenty</t>
  </si>
  <si>
    <t>Nadační fond Jablonecké energetické</t>
  </si>
  <si>
    <t>Nadační fond kostela Sv. Štěpána v Řitonicích</t>
  </si>
  <si>
    <t>Nadační fond Petra a Lenky Bukovských a Lucie Sochorové</t>
  </si>
  <si>
    <t>Nadační fond pro Ukrajinu</t>
  </si>
  <si>
    <t>Nadační fond pro Vědomí Krišny - Splň Džagannátův sen</t>
  </si>
  <si>
    <t>Nadační fond Randovka</t>
  </si>
  <si>
    <t>Nadační fond severočeských olympioniků</t>
  </si>
  <si>
    <t>nadační fond SLON - Společně dá Liberecko Onkodětem Naději</t>
  </si>
  <si>
    <t>Nadační fond TECHNOLOGY</t>
  </si>
  <si>
    <t>Nadační fond UNITHERM</t>
  </si>
  <si>
    <t>Nadační fond VIA DEAE</t>
  </si>
  <si>
    <t>Naše škola Montessori, z.s.</t>
  </si>
  <si>
    <t>Natura Horní Proseč z.s.</t>
  </si>
  <si>
    <t>Network23 - Jbc</t>
  </si>
  <si>
    <t>NEVO DROM Jablonec nad Nisou</t>
  </si>
  <si>
    <t>Nezávislá odborová organizace firmy TI GROUP AUTOMOTIVE SYSTEMS</t>
  </si>
  <si>
    <t>Nezávislý odborový svaz Policie České republiky při Věznici Rýnovice</t>
  </si>
  <si>
    <t>NordKemp z.s.</t>
  </si>
  <si>
    <t>NORTH BIKE CLUB, spolek</t>
  </si>
  <si>
    <t>Nová budoucnost pro Liberecký kraj</t>
  </si>
  <si>
    <t>Nová Skalka, zapsaný spolek</t>
  </si>
  <si>
    <t>Nový směr</t>
  </si>
  <si>
    <t>Občané pro Kokonín, občanské sdružení</t>
  </si>
  <si>
    <t>Občanské Sdružení Down Town</t>
  </si>
  <si>
    <t>Občanské sdružení Equisano Jablonec nad Nisou</t>
  </si>
  <si>
    <t>Občanské sdružení JABLONECKÉ ZAHRADY</t>
  </si>
  <si>
    <t>Občanské sdružení JBC bikepark</t>
  </si>
  <si>
    <t>Občanské sdružení KIDOKAI - Centrum zdraví a aktivního odpočinku</t>
  </si>
  <si>
    <t>Občanské sdružení Kultura pro všechny</t>
  </si>
  <si>
    <t>Občanské sdružení Muhu</t>
  </si>
  <si>
    <t>"Občanské sdružení pro podporu a rozvoj romské mládeže"</t>
  </si>
  <si>
    <t>Občanské sdružení proti výstavbě státní silnice dálničního typu-rychlospoje</t>
  </si>
  <si>
    <t>OBČANSKÉ SDRUŽENÍ RUSOFILŮ</t>
  </si>
  <si>
    <t>Občanské sdružení SKELNÁ</t>
  </si>
  <si>
    <t>Občanské sdružení SOPA</t>
  </si>
  <si>
    <t>Občanské sdružení taneční Klub FUN and STYLE</t>
  </si>
  <si>
    <t>Občanský spolek NISA</t>
  </si>
  <si>
    <t>Obecně prospěšná společnost Gymnázium Jablonec n. N.</t>
  </si>
  <si>
    <t>Oblastní spolek Českého červeného kříže Jablonec nad Nisou</t>
  </si>
  <si>
    <t>Ostatní činnosti související se zdravotní péčí</t>
  </si>
  <si>
    <t>Ochranné Sdružení Drobných Minoritních Akcionářů z. s.</t>
  </si>
  <si>
    <t>Ochranovský sbor při Českobratrské církvi evangelické v Jablonci nad Nisou</t>
  </si>
  <si>
    <t>Odborová organizace pracovníků Bijou, s.r.o.</t>
  </si>
  <si>
    <t>Odborová Organizace VSČR Rýnovice</t>
  </si>
  <si>
    <t>Odborová organizace zaměstnanců České Spořitelny a.s. Jablonec nad Nisou</t>
  </si>
  <si>
    <t>Odborová Organizace Zaměstnanců Denso Manufacturing Czech</t>
  </si>
  <si>
    <t>Odborové sdružení PRAD, ZO PRECIOSA FIGURKY s.r.o.</t>
  </si>
  <si>
    <t>Odborové sdružení PRAD, ZO Pregis a.s.</t>
  </si>
  <si>
    <t>Odborový svaz KOVO, Základní organizace ABB Elektro-Praga Jablonec</t>
  </si>
  <si>
    <t>Odborový svaz pracovníků dřevozpracujících odvětví, lesního a vodního hospodářství v ČR, Základní organizace Povodí Labe s.p. závod 43 Jablonec n.N</t>
  </si>
  <si>
    <t>Odborový svaz skla, keramiky a porcelánu, Základní organizace Česká mincovna, a.s.</t>
  </si>
  <si>
    <t>Odborový svaz skla, keramiky a porcelánu, Základní organizace MEGATECH Industries Jablonec s.r.o.</t>
  </si>
  <si>
    <t>Odborový svaz zaměstnanců poštovních, telekomunikačních a novinových služeb, Základní organizace pošty Jablonecka</t>
  </si>
  <si>
    <t>ODDÍL CYKLISTIKY JABLONEC NAD NISOU</t>
  </si>
  <si>
    <t>Ohnivé Čarodějky z.s.</t>
  </si>
  <si>
    <t>OKOLÍ KYNASTU</t>
  </si>
  <si>
    <t>Okresní fotbalový svaz v Jablonci nad Nisou</t>
  </si>
  <si>
    <t>Okresní organizace České unie sportu Jablonec nad Nisou, z.s.</t>
  </si>
  <si>
    <t>Okresní rada Asociace školních sportovních klubů České republiky Jablonec nad Nisou, pobočný spolek</t>
  </si>
  <si>
    <t>Orel jednota Jablonec nad Nisou</t>
  </si>
  <si>
    <t>Organizační výbor biatlonu Jablonec n.N.</t>
  </si>
  <si>
    <t>Organizační výbor Mistrovství světa v letním biatlonu 2002</t>
  </si>
  <si>
    <t>Oříšek - pro život s hudbou z.ú.</t>
  </si>
  <si>
    <t>o.s. Ještědský spolek letců</t>
  </si>
  <si>
    <t>o.s.Jablonecká píšťalka</t>
  </si>
  <si>
    <t>Paintballový klub TVRDEY ZÁSAH, o.s.</t>
  </si>
  <si>
    <t>PARALLELUS, Jablonec nad Nisou</t>
  </si>
  <si>
    <t>Partyraft z.s.</t>
  </si>
  <si>
    <t>P-club</t>
  </si>
  <si>
    <t>Pionýr, z. s. - Liberecká krajská organizace Pionýra</t>
  </si>
  <si>
    <t>Pionýr, z. s. - Pionýrská skupina Tužíňáci</t>
  </si>
  <si>
    <t>Pionýr, z. s. - 3. Pionýrská skupina</t>
  </si>
  <si>
    <t>PLAC, z.s.</t>
  </si>
  <si>
    <t>Planeta Jablonec - energetické společenství, z.s.</t>
  </si>
  <si>
    <t>PLUK Jablonec, z. s.</t>
  </si>
  <si>
    <t>Poker Club Jablonec o.s.</t>
  </si>
  <si>
    <t>Politický klub Jablonecka</t>
  </si>
  <si>
    <t>Porozumění - Verständnis</t>
  </si>
  <si>
    <t>Porozumění mysli z. s.</t>
  </si>
  <si>
    <t>Pravoslavná církevní obec v Jablonci nad Nisou</t>
  </si>
  <si>
    <t>Pro radost v životě z.s.</t>
  </si>
  <si>
    <t>PRO "ROCK"</t>
  </si>
  <si>
    <t>Projekt školení z.s.</t>
  </si>
  <si>
    <t>"Projizerky z.s."</t>
  </si>
  <si>
    <t>PROSTORY - občanské sdružení</t>
  </si>
  <si>
    <t>PROTECT MONEY z.s.</t>
  </si>
  <si>
    <t>Přátelé přírody Jablonec nad Nisou, z. s.</t>
  </si>
  <si>
    <t>Psoriáza a kožní onemocnění, spolek</t>
  </si>
  <si>
    <t>PUMÁCI, z. s.</t>
  </si>
  <si>
    <t>QUALITY CONSULT, z.s.</t>
  </si>
  <si>
    <t>Rada rodičů při 26.mateřské škole v likvidaci</t>
  </si>
  <si>
    <t>Rada rodičů při 5.MŠ v likvidaci</t>
  </si>
  <si>
    <t>Radioklub OK1KEP Jablonec nad Nisou, pobočný spolek</t>
  </si>
  <si>
    <t>Radioklub OK1KJA Jablonec n.N., pobočný spolek</t>
  </si>
  <si>
    <t>RADOST při MŠ Hláska z.s.</t>
  </si>
  <si>
    <t>RALLYESPORT JABLONEC nad Nisou v AČR v likvidaci</t>
  </si>
  <si>
    <t>REGION RESTAURANT NISA, o.s.</t>
  </si>
  <si>
    <t>Respirium, o.p.s.</t>
  </si>
  <si>
    <t>Ostatní činnosti související se zdravotní péčí j. n.</t>
  </si>
  <si>
    <t>Retunza z. s.</t>
  </si>
  <si>
    <t>Revelations z.s.</t>
  </si>
  <si>
    <t>RIDERS FIRE HEARTS o.s.</t>
  </si>
  <si>
    <t>RK Dragons Jablonec nad Nisou,  z. s.</t>
  </si>
  <si>
    <t>RockMachine - CykloMax</t>
  </si>
  <si>
    <t>Rodina24 z. ú.</t>
  </si>
  <si>
    <t>Rodinné centrum Perlička, z.s.</t>
  </si>
  <si>
    <t>Rugby Club Griffins Jablonec nad Nisou, z. s.</t>
  </si>
  <si>
    <t>Rychlostní kanoistika Jablonec nad Nisou, z. s.</t>
  </si>
  <si>
    <t>Římskokatolická farnost - děkanství Jablonec nad Nisou</t>
  </si>
  <si>
    <t>Římskokatolická farnost Janov nad Nisou</t>
  </si>
  <si>
    <t>Římskokatolická farnost Lučany nad Nisou</t>
  </si>
  <si>
    <t>Římskokatolická farnost Rychnov u Jablonce nad Nisou</t>
  </si>
  <si>
    <t>Římskokatolická farnost Rýnovice</t>
  </si>
  <si>
    <t>SALEM</t>
  </si>
  <si>
    <t>SAVOIR VIVRE Jablonec, občanské sdružení</t>
  </si>
  <si>
    <t>Sbor Církve adventistů sedmého dne Jablonec nad Nisou</t>
  </si>
  <si>
    <t>Sbor dobrovolných hasičů Mšeno nad Nisou</t>
  </si>
  <si>
    <t>SBTS Železný Brod p. s.</t>
  </si>
  <si>
    <t>Sdružení autoškol ČR</t>
  </si>
  <si>
    <t>Sdružení cestovního ruchu Jizerské hory z.s.</t>
  </si>
  <si>
    <t>Sdružení nájemníků objektu čp. 3270 Jablonec nad Nisou</t>
  </si>
  <si>
    <t>Sdružení pro obnovení elektrických kolejových drah v Jabl. n. Nisou, z.s.</t>
  </si>
  <si>
    <t>Sdružení přátel jablonecké tyčky</t>
  </si>
  <si>
    <t>Sdružení přátel Jabloneckých Pasek, z. s.</t>
  </si>
  <si>
    <t>„Sdružení rekreační zóna Lučany - Maxov, o.s.”</t>
  </si>
  <si>
    <t>Sdružení rodičů a dětí a přátel školy při ZŠ Pivovarská Jablonec nad Nisou, z. s.</t>
  </si>
  <si>
    <t>Sdružení rodičů a přátel dětí a školy v likvidaci</t>
  </si>
  <si>
    <t>Sdružení rodičů a přátel dětí a školy, z.s. při Základní škole, Liberecká 1734/31, Jablonec n.N.</t>
  </si>
  <si>
    <t>Sdružení rodičů a přátel dětí školy v likvidaci</t>
  </si>
  <si>
    <t>Sdružení rodičů a přátel školy při mateřské škole Motýlek v Jablonci n. N.</t>
  </si>
  <si>
    <t>Sdružení rodičů a přátel školy při MŠ, v likvidaci</t>
  </si>
  <si>
    <t>Sdružení rodičů a přátel školy při ZŠ Mozartova, z. s.</t>
  </si>
  <si>
    <t>Sdružení rodičů a přátel školy 7. ZŠ v Jablonci n. N.</t>
  </si>
  <si>
    <t>Sdružení škol I.</t>
  </si>
  <si>
    <t>Sdružení vlastníků nemovitostí v katastrálním území Odolenovice</t>
  </si>
  <si>
    <t>SeniA z.s.</t>
  </si>
  <si>
    <t>Senioři České republiky, z. s., Základní organizace Jablonec nad Nisou</t>
  </si>
  <si>
    <t>Servisní centrum sportu ČUS Jablonec nad Nisou</t>
  </si>
  <si>
    <t>"SEVER"</t>
  </si>
  <si>
    <t>Severočeská asociace podnikatelek a manažerek</t>
  </si>
  <si>
    <t>Severočeský citrusář</t>
  </si>
  <si>
    <t>SH ČMS - Okresní sdružení hasičů Jablonec nad Nisou</t>
  </si>
  <si>
    <t>SH ČMS - Sbor dobrovolných hasičů Jablonecké Paseky</t>
  </si>
  <si>
    <t>SH ČMS - Sbor dobrovolných hasičů Kokonín</t>
  </si>
  <si>
    <t>SH ČMS - Sbor dobrovolných hasičů Proseč</t>
  </si>
  <si>
    <t>Shambhala Česká republika, z.s.</t>
  </si>
  <si>
    <t>Sinatro, z. s.</t>
  </si>
  <si>
    <t>SK Bobysport o.s.</t>
  </si>
  <si>
    <t>SK CAMEL Jablonec nad NISOU</t>
  </si>
  <si>
    <t>SK NEPTUN - Jablonec nad Nisou</t>
  </si>
  <si>
    <t>SK Rodina na kole, z.s.</t>
  </si>
  <si>
    <t>SK Tuleň, z.s.</t>
  </si>
  <si>
    <t>SK Viktorie Janov n.N., z.s.</t>
  </si>
  <si>
    <t>Skateboard Klub Jablonec n.N.</t>
  </si>
  <si>
    <t>SKI KLUB JABLONEC N.N. z.s.</t>
  </si>
  <si>
    <t>SKI ORIENTEERING 2002</t>
  </si>
  <si>
    <t>SKI TEAM LIBEREC, z.s.</t>
  </si>
  <si>
    <t>SKITURISTA</t>
  </si>
  <si>
    <t>Skládačky z.s.</t>
  </si>
  <si>
    <t>SKP KORNSPITZ Jablonec z.s.</t>
  </si>
  <si>
    <t>Skryté příběhy, z.s.</t>
  </si>
  <si>
    <t>SLUNÍČKO - dětská skupina, z.s.</t>
  </si>
  <si>
    <t>Smíšený pěvecký sbor A MY TAKY z.s.</t>
  </si>
  <si>
    <t>Smíšený pěvecký sbor Janáček z.s.</t>
  </si>
  <si>
    <t>Snowboardový klub Nitro</t>
  </si>
  <si>
    <t>SPECIÁLNÍ OPERACE CZECH REPUBLIC, o. s.</t>
  </si>
  <si>
    <t>SPMP ČR pobočný spolek Jablonec nad Nisou</t>
  </si>
  <si>
    <t>SPMP ČR pobočný spolek KLUB DOWNOVA SYNDROMU</t>
  </si>
  <si>
    <t>Spokojené bydlení, o.s.</t>
  </si>
  <si>
    <t>Společenství jabloneckých autoškol</t>
  </si>
  <si>
    <t>Společenství Patronů ČR, z.s.</t>
  </si>
  <si>
    <t>Společnost pro obnovu Městského divadla v Jablonci nad Nisou</t>
  </si>
  <si>
    <t>Společnost přátel Obchodní akademie v Jablonci nad Nisou, z.s.</t>
  </si>
  <si>
    <t>Spolek Botryum</t>
  </si>
  <si>
    <t>spolek Galerie Ahoj Nazdar Čau</t>
  </si>
  <si>
    <t>SPOLEK GNARRITAS</t>
  </si>
  <si>
    <t>Spolek jabloneckých dam a pánů, z.s.</t>
  </si>
  <si>
    <t>Spolek Jizerskohorský</t>
  </si>
  <si>
    <t>Spolek Mozaika</t>
  </si>
  <si>
    <t>Spolek NejRoma</t>
  </si>
  <si>
    <t>Spolek Polysemum</t>
  </si>
  <si>
    <t>Spolek pro podporu Základní školy Antonína Bratršovského z. s.</t>
  </si>
  <si>
    <t>Spolek pro sport,kulturu,vzdělání a poznávání, z.s</t>
  </si>
  <si>
    <t>Spolek Proseč, Jablonec nad Nisou, z.s.</t>
  </si>
  <si>
    <t>Spolek přátel díla Vratislava Karla Nováka</t>
  </si>
  <si>
    <t>Spolek přátel Hospůdky u pijana z.s.</t>
  </si>
  <si>
    <t>Spolek přátel hudby Jablonec n/N, z.s.</t>
  </si>
  <si>
    <t>Spolek přátel města Jablonec nad Nisou</t>
  </si>
  <si>
    <t>Spolek přátel MŠ Jugoslávská 13</t>
  </si>
  <si>
    <t>Spolek přátel Muzea skla a bižuterie v Jablonci nad Nisou</t>
  </si>
  <si>
    <t>Spolek přátel Svobodné základní školy</t>
  </si>
  <si>
    <t>SPOLEK PŘÁTEL ZÁKLADNÍ ŠKOLY JABLONEC NAD NISOU, PASÍŘSKÁ 72</t>
  </si>
  <si>
    <t>Spolek rodičů a přátel dětí a školy při ZUŠ</t>
  </si>
  <si>
    <t>Spolek rodičů a přátel dětí při Mateřské škole Kostička</t>
  </si>
  <si>
    <t>SPOLEK RODIČŮ A PŘÁTEL MATEŘSKÉ ŠKOLY POHODA</t>
  </si>
  <si>
    <t>Spolek rodičů a přátel Slunečnice</t>
  </si>
  <si>
    <t>Spolek rodičů a přátel školy při MŠ Jablonec nad Nisou-Mšeno, Mechová 10</t>
  </si>
  <si>
    <t>Spolek rodičů a přátel školy při MŠ Pampeliška</t>
  </si>
  <si>
    <t>Spolek rodičů a přátel školy při MŠ POD LESEM v Jablonci nad Nisou</t>
  </si>
  <si>
    <t>Spolek rodičů dětí a přátel ZŠ Jablonec n.N., 5. května 76</t>
  </si>
  <si>
    <t>Spolek rodičů Vrkoslavice</t>
  </si>
  <si>
    <t>Spolek rodičů ZŠ Kokonín</t>
  </si>
  <si>
    <t>Spolek sdružení rodičů a přátel školy 5. ZŠ Jablonec nad Nisou, Pasířská 72</t>
  </si>
  <si>
    <t>spolek Subculture</t>
  </si>
  <si>
    <t>Spolek TableTenisClub Jablonec nad Nisou</t>
  </si>
  <si>
    <t>Spolek Taneční Klub Xtream</t>
  </si>
  <si>
    <t>Spolek taškářů Veselé loutky</t>
  </si>
  <si>
    <t>SPOLEK ULICE LESNÍ</t>
  </si>
  <si>
    <t>Spolek Vincent, z.s.</t>
  </si>
  <si>
    <t>Spolek vlastníků obytného domu na ulici Nerudova 7</t>
  </si>
  <si>
    <t>Spolek zahrádkářů Okružní v Jablonci nad Nisou</t>
  </si>
  <si>
    <t>Sport klub Tygřík, z. s.</t>
  </si>
  <si>
    <t>„SPORT MŠENO o.s.”</t>
  </si>
  <si>
    <t>Sport Sever z. s.</t>
  </si>
  <si>
    <t>Sportovně střelecký klub mládeže LOYD Jablonec n/N v likvidaci</t>
  </si>
  <si>
    <t>SPORTOVNÍ KLUB  POLICIE MAJÁK, z.s.</t>
  </si>
  <si>
    <t>Sportovní klub Jizerka Jablonec nad Nisou</t>
  </si>
  <si>
    <t>Sportovní klub Nord-Kids-Jbc, z.s.</t>
  </si>
  <si>
    <t>Sportovní klub Paralet Jablonec nad Nisou, z.s.</t>
  </si>
  <si>
    <t>Sportovní klub PEXESO, z.s.</t>
  </si>
  <si>
    <t>Sportovní klub PRONA Š+Š Jablonec nad Nisou</t>
  </si>
  <si>
    <t>Sportovní klub SPORTAKTIV, z.s.</t>
  </si>
  <si>
    <t>Sportovní klub ŠK Jablonec</t>
  </si>
  <si>
    <t>Sportovní klub VOSY Jablonec nad Nisou</t>
  </si>
  <si>
    <t>Sportovní klub VYŠEHRAD, o.s.</t>
  </si>
  <si>
    <t>Sportovní letecký klub Boží Dar, o.s.</t>
  </si>
  <si>
    <t>Sportovní rekreační kluby Jablonec nad Nisou, z. s.</t>
  </si>
  <si>
    <t>Sportovní rybářský spolek ARON z.s.</t>
  </si>
  <si>
    <t>SQUASH CLUB JABLONEC N.N. - BŘÍZKY</t>
  </si>
  <si>
    <t>Srnčí Důl, z.s.</t>
  </si>
  <si>
    <t>SRPŠ PŘI ZŠ ŠUMAVA z.s.</t>
  </si>
  <si>
    <t>SRTG Jablonec nad Nisou, z.s.</t>
  </si>
  <si>
    <t>STAR HORSE o.s.</t>
  </si>
  <si>
    <t>"STARDUST, z.s."</t>
  </si>
  <si>
    <t>Starokatolická farnost v Jablonci nad Nisou</t>
  </si>
  <si>
    <t>Studentská společnost APOS</t>
  </si>
  <si>
    <t>Studentská společnost DaFaDi</t>
  </si>
  <si>
    <t>Studio Kokos, z. s.</t>
  </si>
  <si>
    <t>SUBARU SPORT SERVIS KLUB v AČR</t>
  </si>
  <si>
    <t>SVA Jablonec, z. s.</t>
  </si>
  <si>
    <t>Svaz diabetiků ČR, územní organizace Liberec, pobočný spolek</t>
  </si>
  <si>
    <t>Svaz nedoslýchavých a neslyšících ČR , organizace Jablonec nad Nisou</t>
  </si>
  <si>
    <t>Svaz postižených v ČR základní organizace I.</t>
  </si>
  <si>
    <t>Svaz tělesně postižených v České republice z. s. místní organizace č.1 Jablonec nad Nisou</t>
  </si>
  <si>
    <t>Svaz tělesně postižených v České republice z. s. místní organizace č.3 Jablonec nad Nisou</t>
  </si>
  <si>
    <t>Svaz účetních Jablonec nad Nisou, z. s.</t>
  </si>
  <si>
    <t>Svobodná základní škola, o.p.s., Jablonec nad Nisou</t>
  </si>
  <si>
    <t>Primární vzdělávání</t>
  </si>
  <si>
    <t>SWING Jablonec z.s.</t>
  </si>
  <si>
    <t>Šachová akademie Jablonec</t>
  </si>
  <si>
    <t>Šachový klub Sämisch Jablonec n/N</t>
  </si>
  <si>
    <t>ŠERMÍŘSKÁ KUMPANIE z.s.</t>
  </si>
  <si>
    <t>Šipky ČIP, z. s.</t>
  </si>
  <si>
    <t>Škola pro radost</t>
  </si>
  <si>
    <t>Školní atletický klub při 5. ZŠ, Pasířská 72, Jablonec nad Nisou, z. s.</t>
  </si>
  <si>
    <t>Školní atletický klub Sportovní gymnázium Jablonec nad Nisou</t>
  </si>
  <si>
    <t>ŠNEK MOTORSPORT KLUB V AČR</t>
  </si>
  <si>
    <t>Taneční a pohybové studio Magdaléna, pobočný spolek</t>
  </si>
  <si>
    <t>Tarsicius, z.s.</t>
  </si>
  <si>
    <t>Team Jizerky z. s.</t>
  </si>
  <si>
    <t>Technology-vzdělávací, kulturní a sportovní spolek</t>
  </si>
  <si>
    <t>Tělocvičná jednota Sokol Jablonec n. Nisou</t>
  </si>
  <si>
    <t>TĚLOVÝCHOVNÁ JEDNOTA AEROBIK ELÁN - JABLONEC, O.S.</t>
  </si>
  <si>
    <t>Tělovýchovná jednota Autobrzdy, Jablonec nad Nisou, z.s.</t>
  </si>
  <si>
    <t>Tělovýchovná jednota Bižuterie, z.s.</t>
  </si>
  <si>
    <t>Tělovýchovná jednota Elektro-Praga Jablonec n.N., z.s.</t>
  </si>
  <si>
    <t>Tělovýchovná jednota Everest</t>
  </si>
  <si>
    <t>Tělovýchovná jednota JIZERAN</t>
  </si>
  <si>
    <t>Tělovýchovná jednota KARDIO z.s. Jablonec nad Nisou</t>
  </si>
  <si>
    <t>Tělovýchovná jednota LIAZ Jablonec nad Nisou, z.s.</t>
  </si>
  <si>
    <t>TENIS SQUASH CENTRUM Jablonec nad Nisou - Břízky, z. s.</t>
  </si>
  <si>
    <t>T.J. Arnika Jablonec nad Nisou</t>
  </si>
  <si>
    <t>TJ ČERT FÉNIX, z. s.</t>
  </si>
  <si>
    <t>TJ Čert Malá Skála, o.s.</t>
  </si>
  <si>
    <t>TJ Delfín Jablonec, z. s.</t>
  </si>
  <si>
    <t>TJ GIBON Jablonec nad Nisou, z.s.</t>
  </si>
  <si>
    <t>T.J. HC Jablonec nad Nisou, z.s.</t>
  </si>
  <si>
    <t>T.J. HC Rolba Jablonec nad Nisou</t>
  </si>
  <si>
    <t>TJ Jablonex Jablonec nad Nisou o.s.</t>
  </si>
  <si>
    <t>TJ JO NISA JABLONEC NAD NISOU, spolek</t>
  </si>
  <si>
    <t>TJ Nisa Proseč nad Nisou</t>
  </si>
  <si>
    <t>T.J. Preciosa Jablonec nad Nisou</t>
  </si>
  <si>
    <t>TJ ROMA Jablonec nad Nisou</t>
  </si>
  <si>
    <t>TJ SOKOL KOKONÍN z.s.</t>
  </si>
  <si>
    <t>TJ Tatran Jablonec n. N., z. s.</t>
  </si>
  <si>
    <t>TK Břízky, z.s.</t>
  </si>
  <si>
    <t>TORNÁDO TEAM</t>
  </si>
  <si>
    <t>Travelling and baby sitting</t>
  </si>
  <si>
    <t>Triatlon Jablonec, z.s.</t>
  </si>
  <si>
    <t>Turisticko-lyžařský klub ŤAPKA Jablonec nad Nisou</t>
  </si>
  <si>
    <t>U nás V Lukášově</t>
  </si>
  <si>
    <t>Unere-nexlust</t>
  </si>
  <si>
    <t>Unie nezávislých rozhodců o. s.</t>
  </si>
  <si>
    <t>Unie rodičů při Střední průmyslové škole v Jablonci nad Nisou v likvidaci</t>
  </si>
  <si>
    <t>Unie ROSKA - reg. org. ROSKA JABLONEC NAD NISOU, z.p.s.</t>
  </si>
  <si>
    <t>Val Dauf Syndicate z.s.</t>
  </si>
  <si>
    <t>VA-SKI KLUB z.s.</t>
  </si>
  <si>
    <t>Vem Camará Capoeira Jablonec nad Nisou z. s.</t>
  </si>
  <si>
    <t>Veselá věda z. ú.</t>
  </si>
  <si>
    <t>Jiné vzdělávání j. n.</t>
  </si>
  <si>
    <t>Villanella, z.s.</t>
  </si>
  <si>
    <t>VIVACITAS CZ, z.s.</t>
  </si>
  <si>
    <t>Vlastenecko dobročinná sdružená obec baráčníků Mšeno - Jablonec nad Nisou z.s.</t>
  </si>
  <si>
    <t>Vlk S.O.S., z.s.</t>
  </si>
  <si>
    <t>VLŠ Jičín, z.s.</t>
  </si>
  <si>
    <t>Vodní sporty spolek Tajvan</t>
  </si>
  <si>
    <t>Vodní záchranná služba ČČK Jablonec nad Nisou, pobočný spolek</t>
  </si>
  <si>
    <t>VRBA BOBTEAM, z.s.</t>
  </si>
  <si>
    <t>Warp Gaming z. s.</t>
  </si>
  <si>
    <t>YACHT club Jablonec n.Nisou</t>
  </si>
  <si>
    <t>Za lepší život, z.s.</t>
  </si>
  <si>
    <t>Zahrádkáři na Pláni</t>
  </si>
  <si>
    <t>Základní článek Hnutí Brontosaurus - HRAT</t>
  </si>
  <si>
    <t>Základní odborová organizace OS SOO při Magistrátu města Jablonec nad Nisou</t>
  </si>
  <si>
    <t>Základní organizace  Gymnázium Jablonec nad Nisou</t>
  </si>
  <si>
    <t>Základní organizace Českého zahrádkářského svazu Jablonec nad Nisou</t>
  </si>
  <si>
    <t>Základní organizace Českého zahrádkářského svazu Jablonec nad Nisou Pod lesem</t>
  </si>
  <si>
    <t>Základní organizace Českého zahrádkářského svazu Mšeno Jih</t>
  </si>
  <si>
    <t>Základní organizace Českého zahrádkářského svazu Mšeno sever</t>
  </si>
  <si>
    <t>Základní organizace Českého zahrádkářského svazu Nová Ves</t>
  </si>
  <si>
    <t>Základní organizace ČMOS PŠ při ZŠ Jablonec nad Nisou</t>
  </si>
  <si>
    <t>Základní organizace III,Jablonec nad Nisou Svaz postižených civil.chorobami v ČR</t>
  </si>
  <si>
    <t>Základní organizace II,Jablonec nad Nisou Svaz postižených civil.chorobami v ČR</t>
  </si>
  <si>
    <t>Základní organizace Nezávislého odborového svazu Policie České republiky</t>
  </si>
  <si>
    <t>ZÁKLADNÍ ORGANIZACE ODBOROVÉHO SDRUŽENÍ PRAD PRECIOSA - ZÁVOD 09 - JANBLONEC N.N.</t>
  </si>
  <si>
    <t>ZÁKLADNÍ ORGANIZACE ODBOROVÉHO SDRUŽENÍ PRAD PRECIOSA BIŽUTERIE, S.R.O.</t>
  </si>
  <si>
    <t>Základní organizace Odborového svazu dopravy Jablonec nad Nisou</t>
  </si>
  <si>
    <t>Základní organizace Odborového svazu ECHO Jablonecká energetická, a.s.</t>
  </si>
  <si>
    <t>Základní organizace Odborového svazu hasičů Jablonec nad Nisou</t>
  </si>
  <si>
    <t>Základní organizace odborového svazu KOVO AUTOBRZDY</t>
  </si>
  <si>
    <t>Základní organizace Odborového svazu státních orgánů a organizací Okresní správa sociálního zabezpečení</t>
  </si>
  <si>
    <t>Základní organizace Odborového svazu UNIOS SBD LIAZ</t>
  </si>
  <si>
    <t>Základní organizace odborového svazu zdravotnictví a sociální péče České republiky, Nemocnice Jablonec nad Nisou</t>
  </si>
  <si>
    <t>Základní organizace OS státních orgánů a organizací Úřad práce</t>
  </si>
  <si>
    <t>Základní organizace Povodí Labe s.p. závod 43</t>
  </si>
  <si>
    <t>Základní organizace PRAD, Preciosa-Lustry a.s. Jablonec nad Nisou</t>
  </si>
  <si>
    <t>Základní organizace Základní škola Jablonec nad Nisou</t>
  </si>
  <si>
    <t>Základní škola svaté Zdislavy</t>
  </si>
  <si>
    <t>Základní vzdělávání na druhém stupni základních škol</t>
  </si>
  <si>
    <t>Zdravé děti bez nadváhy z.s.</t>
  </si>
  <si>
    <t>Zelená mobilita z.s.</t>
  </si>
  <si>
    <t>ZO ČSOP JIZERKA 35/03</t>
  </si>
  <si>
    <t>ZO ČSOP VIKÝŘ</t>
  </si>
  <si>
    <t>ZO OS KOVO TI Automotive</t>
  </si>
  <si>
    <t>ZO OS pracovníků peněžnictví a pojišťovnictví Československá obchodní banka, a.s.</t>
  </si>
  <si>
    <t>ZO OS pracovníků peněžnictví a pojišťovnictví Komerční banka, a.s.</t>
  </si>
  <si>
    <t>ZO OS PRAD FIGURKY s.r.o.</t>
  </si>
  <si>
    <t>ZO OS PRAD PRECIOSA Jablonec nad Nisou</t>
  </si>
  <si>
    <t>ZO OS UNIOS SPORT Jablonec nad Nisou</t>
  </si>
  <si>
    <t>ZO SOS-21.JN Nezávislé odborové sdružení pracovníků České pošty okres Jablonec nad Nisou</t>
  </si>
  <si>
    <t>"Žijeme tu s Vámi"</t>
  </si>
  <si>
    <t>Živnostenské společenstvo svářečských škol</t>
  </si>
  <si>
    <t>Žižkův vrch - Jablonec nad Nisou</t>
  </si>
  <si>
    <t>1.běh tábor Pecka, z.s.</t>
  </si>
  <si>
    <t>1000 Miles Adventure, z. s.</t>
  </si>
  <si>
    <t>303 FM, z. s. v likvidaci</t>
  </si>
  <si>
    <t>AUTO KLUB JABLONNÉ V PODJEŠTĚDÍ V AČR</t>
  </si>
  <si>
    <t>Jablonné v Podještědí</t>
  </si>
  <si>
    <t>Centrum svaté Zdislavy, z.s.</t>
  </si>
  <si>
    <t>Chalupy Lemberk</t>
  </si>
  <si>
    <t>Červený motorsport racing team z.s.</t>
  </si>
  <si>
    <t>Českomoravský svaz chovatelů poštovních holubů, místní spolek Liberec, z.s.</t>
  </si>
  <si>
    <t>Český rybářský svaz, z. s., místní organizace Jablonné v Podještědí</t>
  </si>
  <si>
    <t>ČSS, z.s. - Sportovně střelecký klub - Jablonné v Podještědí</t>
  </si>
  <si>
    <t>DANCE BROTHERS z. s.</t>
  </si>
  <si>
    <t>Fotbalová akademie MAHO sport Jablonné v Podještědí z.s.</t>
  </si>
  <si>
    <t>HBC Hockey Beer Company, o.s.</t>
  </si>
  <si>
    <t>Honební společenstvo Jablonné v Podještědí-Sever</t>
  </si>
  <si>
    <t>Honební společenstvo Jablonné v Podještědí-Valdov</t>
  </si>
  <si>
    <t>Honební společenstvo Velký Valtinov-Postřelná</t>
  </si>
  <si>
    <t>Karate ToJo, spolek</t>
  </si>
  <si>
    <t>Klášter dominikánů Jablonné v Podještědí</t>
  </si>
  <si>
    <t>Klub automobilových modelářů</t>
  </si>
  <si>
    <t>Královský Golf Club Malevil</t>
  </si>
  <si>
    <t>Lemberk</t>
  </si>
  <si>
    <t>MS Hvozd Petrovice</t>
  </si>
  <si>
    <t>Myslivecké sdružení Černava</t>
  </si>
  <si>
    <t>Myslivecké sdružení Vidlák</t>
  </si>
  <si>
    <t>Myslivecké sdružení Zámecký vrch</t>
  </si>
  <si>
    <t>Myslivecký spolek Diana Jablonné v Podještědí</t>
  </si>
  <si>
    <t>Myslivecký spolek Hubert o.s. Jablonné v Podještědí</t>
  </si>
  <si>
    <t>Myslivecký spolek Růžová</t>
  </si>
  <si>
    <t>OBČANSKÉ SDRUŽENÍ NÁMĚSTÍ MÍRU</t>
  </si>
  <si>
    <t>Občanské sdružení přátel Zdislavy</t>
  </si>
  <si>
    <t>”Občanské sdružení s.v.č. Beta”</t>
  </si>
  <si>
    <t>Pakli sport klub, z. s.</t>
  </si>
  <si>
    <t>Pěvecký spolek JABLONETKY</t>
  </si>
  <si>
    <t>Rodinné centrum Jablůňka, z. s.</t>
  </si>
  <si>
    <t>Římskokatolická farnost - děkanství Jablonné v Podještědí</t>
  </si>
  <si>
    <t>SANREPO, o.p.s.</t>
  </si>
  <si>
    <t>Sdílený ateliér Brett, z. s.</t>
  </si>
  <si>
    <t>Sdružení kominíků pro okres Česká Lípa</t>
  </si>
  <si>
    <t>Sdružení na záchranu kopce Tlustec, z.s.</t>
  </si>
  <si>
    <t>Sdružení rodičů a přátel školy při Mateřské škole Studánka v Jablonném v Podješ.</t>
  </si>
  <si>
    <t>Sdružení sportovních rybářů Jablonné v Podještědí</t>
  </si>
  <si>
    <t>Sdružení sv. Zdislavy v likvidaci</t>
  </si>
  <si>
    <t>SH ČMS - Sbor dobrovolných hasičů Jablonné v Podještědí</t>
  </si>
  <si>
    <t>SH ČMS - Sbor dobrovolných hasičů Lvová</t>
  </si>
  <si>
    <t>SH ČMS - Sbor dobrovolných hasičů Petrovice</t>
  </si>
  <si>
    <t>SH ČMS - Sbor dobrovolných hasičů Postřelná</t>
  </si>
  <si>
    <t>SK JABLOŇKA z.s.</t>
  </si>
  <si>
    <t>Snílek, o.p.s.</t>
  </si>
  <si>
    <t>Spolek přátel Lužických hor</t>
  </si>
  <si>
    <t>"Spolek přátel Petrovic"</t>
  </si>
  <si>
    <t>Sportovní klub Petrovice, z.s.</t>
  </si>
  <si>
    <t>Sportovní Klub Podještědští Pardálové</t>
  </si>
  <si>
    <t>SPORTOVNÍ KLUB SKK74 o.s.</t>
  </si>
  <si>
    <t>Sportovní klub SPORTECH</t>
  </si>
  <si>
    <t>Sportovní klub ZŠ Jablonné v Podještědí, z.s.</t>
  </si>
  <si>
    <t>TJ Sokol Heřmanice v Podještědí z.s.</t>
  </si>
  <si>
    <t>TJ Tatran Jablonné v Podještědí z.s.</t>
  </si>
  <si>
    <t>Triatlon Club Postřelná z.s.</t>
  </si>
  <si>
    <t>Základní organizace odborového sdružení PRAD Preciosa a.s. - závod 17</t>
  </si>
  <si>
    <t>ZO OS UNIOS Technické služby města Jablonné v Podještědí</t>
  </si>
  <si>
    <t>Coiff z.s.</t>
  </si>
  <si>
    <t>Janov nad Nisou</t>
  </si>
  <si>
    <t>CVATO Janov n.N.</t>
  </si>
  <si>
    <t>EXPERIENCE</t>
  </si>
  <si>
    <t>JANOVSKÁ o.p.s.</t>
  </si>
  <si>
    <t>Janovských 11 a 19 km z.s.</t>
  </si>
  <si>
    <t>Jezdecký klub "Kavalet"</t>
  </si>
  <si>
    <t>Klub přátel školy při ZŠ Janov nad Nisou</t>
  </si>
  <si>
    <t>LMK Janov nad Nisou p.s.</t>
  </si>
  <si>
    <t>Osada Vyšehrad, o.s.</t>
  </si>
  <si>
    <t>RC-MODEL KLUB</t>
  </si>
  <si>
    <t>SH ČMS - Sbor dobrovolných hasičů Janov nad Nisou</t>
  </si>
  <si>
    <t>SK Rapid Jablonec 05</t>
  </si>
  <si>
    <t>SKI Janov - Bedřichov, z.s.</t>
  </si>
  <si>
    <t>Spolek přátel Královky, z.s.</t>
  </si>
  <si>
    <t>Spolek přátel obce Janova nad Nisou</t>
  </si>
  <si>
    <t>Činnosti knihoven, archivů, muzeí a jiných kulturních zařízení</t>
  </si>
  <si>
    <t>Spolek přátel Severáku a Jizerských hor</t>
  </si>
  <si>
    <t>Školní sportovní klub v Janově nad Nisou z.s.</t>
  </si>
  <si>
    <t>TIMECONTROL.CZ z.s.</t>
  </si>
  <si>
    <t>TJ Sokol Janov nad Nisou, z.s.</t>
  </si>
  <si>
    <t>AMK MSK STRÁŽ POD RALSKEM</t>
  </si>
  <si>
    <t>Janovice v Podještědí</t>
  </si>
  <si>
    <t>MS Janovice v Podještědí</t>
  </si>
  <si>
    <t>AZDE, z.s.</t>
  </si>
  <si>
    <t>Janův Důl</t>
  </si>
  <si>
    <t>Honební společenstvo Janův Důl</t>
  </si>
  <si>
    <t>Myslivecký spolek Janův Důl</t>
  </si>
  <si>
    <t>Přátelé Janova Dolu z. s.</t>
  </si>
  <si>
    <t>SH ČMS - Sbor dobrovolných hasičů Janův Důl</t>
  </si>
  <si>
    <t>Snowbeasts z.s.</t>
  </si>
  <si>
    <t>Human-Art-Help z.s.</t>
  </si>
  <si>
    <t>Jenišovice</t>
  </si>
  <si>
    <t>Klub vojáků v záloze Jenišovice</t>
  </si>
  <si>
    <t>Náboženská obec Církve československé husitské v Jenišovicích</t>
  </si>
  <si>
    <t>Ostrostřelci Skalany, z.s.</t>
  </si>
  <si>
    <t>SH ČMS - Sbor dobrovolných hasičů Jenišovice</t>
  </si>
  <si>
    <t>SH ČMS - Sbor dobrovolných hasičů Odolenovice</t>
  </si>
  <si>
    <t>SPORTKLUB ZÁDRAHA</t>
  </si>
  <si>
    <t>Sportovní klub Jenišovice, z.s.</t>
  </si>
  <si>
    <t>Školní sportovní klub AŠSK při ZŠ Jenišovice, okr. Jablonec n. N., pobočný spolek</t>
  </si>
  <si>
    <t>AUTOMOTOKLUB V AČR JESENNÝ</t>
  </si>
  <si>
    <t>Jesenný</t>
  </si>
  <si>
    <t>Český svaz včelařů, z.s., základní organizace Jesenný</t>
  </si>
  <si>
    <t>HONEBNÍ SPOLEČENSTVO JESENNÝ</t>
  </si>
  <si>
    <t>Milima ya z.s.</t>
  </si>
  <si>
    <t>Myslivecký spolek Údolí Vošmendy Jesenný</t>
  </si>
  <si>
    <t>SH ČMS - Sbor dobrovolných hasičů Jesenný</t>
  </si>
  <si>
    <t>Tělocvičná jednota Sokol Jesenný</t>
  </si>
  <si>
    <t>Farní sbor Českobratrské církve evangelické v Křížlicích</t>
  </si>
  <si>
    <t>Jestřabí v Krkonoších</t>
  </si>
  <si>
    <t>Roudnické Paseky, z.s.</t>
  </si>
  <si>
    <t>SH ČMS - Sbor dobrovolných hasičů Křížlice</t>
  </si>
  <si>
    <t>Spolek BUBNICE</t>
  </si>
  <si>
    <t>SPOLEK LYŽNÍKŮ-JESTŘABÍ V KRKONOŠÍCH, z.s.</t>
  </si>
  <si>
    <t>Honební společenstvo Jestřebí</t>
  </si>
  <si>
    <t>Jestřebí</t>
  </si>
  <si>
    <t>Myslivecký spolek Hajda Jestřebí</t>
  </si>
  <si>
    <t>Myslivecký spolek LESAN Česká Lípa z.s.</t>
  </si>
  <si>
    <t>Občané Jestřebí, z.s.</t>
  </si>
  <si>
    <t>Pavlovická cesta</t>
  </si>
  <si>
    <t>Sdružení rodičů a přátel Základní školy Jestřebí</t>
  </si>
  <si>
    <t>SkateCL</t>
  </si>
  <si>
    <t>SRPŠ Jestřebí - Provodín, z.s.</t>
  </si>
  <si>
    <t>TJ Jestřebí-Provodín, z.s.</t>
  </si>
  <si>
    <t>JIZERSKÉ STŘELY z.s.</t>
  </si>
  <si>
    <t>Jeřmanice</t>
  </si>
  <si>
    <t>Rybáři Jeřmanice z.s.</t>
  </si>
  <si>
    <t>SH ČMS - Sbor dobrovolných hasičů Jeřmanice</t>
  </si>
  <si>
    <t>SNK Jeřmanice z.s.</t>
  </si>
  <si>
    <t>Spolek pro sport Jeřmanice</t>
  </si>
  <si>
    <t>TOP HANDICAP o.s.</t>
  </si>
  <si>
    <t>AUTOKLUB KRAKONOŠ V AČR</t>
  </si>
  <si>
    <t>Jilemnice</t>
  </si>
  <si>
    <t>BIKE PARK JILEMNICE o.s. v likvidaci</t>
  </si>
  <si>
    <t>"Bradlecké bučiny" v likvidaci</t>
  </si>
  <si>
    <t>CMJ z.s.</t>
  </si>
  <si>
    <t>Cube Cyklo Špicar Jilemnice, z.s.</t>
  </si>
  <si>
    <t>Cyklistický klub Kolo-park.cz, z. s.</t>
  </si>
  <si>
    <t>Český krkonošský spolek SKI Jilemnice</t>
  </si>
  <si>
    <t>Český rybářský svaz, z. s., místní organizace Jilemnice</t>
  </si>
  <si>
    <t>Český svaz chovatelů, z.s., Základní organizace Jilemnice</t>
  </si>
  <si>
    <t>Český svaz včelařů, z.s., základní organizace Jilemnice</t>
  </si>
  <si>
    <t>Český svaz včelařů, z.s., základní organizace Roztoky - Kruh</t>
  </si>
  <si>
    <t>Dětská skupina při nemocnici, z.ú.</t>
  </si>
  <si>
    <t>"Divadlo V Roztocké - Jilemnice, z.s."</t>
  </si>
  <si>
    <t>Farní sbor Českobratrské církve evangelické v Jilemnici</t>
  </si>
  <si>
    <t>HC BOUDA KOZINEC, z.s.</t>
  </si>
  <si>
    <t>HONEBNÍ SPOLEČENSTVO JILEMNICE</t>
  </si>
  <si>
    <t>Jilemnický lidskoprávní spolek</t>
  </si>
  <si>
    <t>"Jilemnický okrašlovací spolek"</t>
  </si>
  <si>
    <t>Jilemský spolek paní a dívek z.s.</t>
  </si>
  <si>
    <t>Junák - český skaut, středisko Jestřáb Jilemnice, z. s.</t>
  </si>
  <si>
    <t>Junák - český skaut, středisko Jilm Jilemnice, z. s.</t>
  </si>
  <si>
    <t>KČT, odbor Jilemnice</t>
  </si>
  <si>
    <t>Klub biatlonu Jilemnice, z.s.</t>
  </si>
  <si>
    <t>Klub handicapovaných - EURO-CLUB HANDICAP z.s.</t>
  </si>
  <si>
    <t>KOŽNAR SKI TEAM v likvidaci</t>
  </si>
  <si>
    <t>MAS "Přiďte pobejt!" z. s.</t>
  </si>
  <si>
    <t>Místní organizace Odborového svazu zdravotnictví a sociální péče ČR Masarykova městská nemocnice a.s.</t>
  </si>
  <si>
    <t>MTB club Jilemnice</t>
  </si>
  <si>
    <t>Myslivecký spolek Jilemnice</t>
  </si>
  <si>
    <t>Na horu, z.s.</t>
  </si>
  <si>
    <t>OK JILEMNICE, z.s.</t>
  </si>
  <si>
    <t>Paul Dance, z.s.</t>
  </si>
  <si>
    <t>Popculture Club, z.s</t>
  </si>
  <si>
    <t>PROJILM z.s.</t>
  </si>
  <si>
    <t>Římskokatolická farnost - děkanství Jilemnice</t>
  </si>
  <si>
    <t>Sbor dobrovolných hasičů Hrabačov</t>
  </si>
  <si>
    <t>SH ČMS - Sbor dobrovolných hasičů Jilemnice</t>
  </si>
  <si>
    <t>Skate Club Krkonoše z. s.</t>
  </si>
  <si>
    <t>Sokolská župa Krkonošská - Pecháčkova</t>
  </si>
  <si>
    <t>Společnost horské medicíny, z. s.</t>
  </si>
  <si>
    <t>Spolek přátel historických vozidel Jilemnice</t>
  </si>
  <si>
    <t>Spolek rodičů a přátel školy při Gymnáziu, Střední odborné škole a Střední zdravotnické škole v Jilemnici, z.s.</t>
  </si>
  <si>
    <t>Spolek za životní prostředí Hrabačov</t>
  </si>
  <si>
    <t>Sportovní klub NIKÉ Jilemnice z.s.</t>
  </si>
  <si>
    <t>Sportovní klub SICO Sportovní centrum Jilemnice z.s.</t>
  </si>
  <si>
    <t>Svatovavřinecký chrámový sbor</t>
  </si>
  <si>
    <t>Svaz tělesně postižených v České republice z. s. místní organizace Jilemnice</t>
  </si>
  <si>
    <t>Šachový klub Jilemnice, z.s.</t>
  </si>
  <si>
    <t>Tělocvičná jednota Sokol Jilemnice</t>
  </si>
  <si>
    <t>TJ Jilemnice z. s.</t>
  </si>
  <si>
    <t>Transsaltum - Klub přátel historie v Jilemnici, z.s. v likvidaci</t>
  </si>
  <si>
    <t>Zájmový spolek Devro Jilemnice v likvidaci</t>
  </si>
  <si>
    <t>Základní organizace Českého zahrádkářského svazu Jilemnice</t>
  </si>
  <si>
    <t>Základní organizace OS KOVO JINOVA Jilemnice</t>
  </si>
  <si>
    <t>Základní škola Na horu</t>
  </si>
  <si>
    <t>ZO NOS PPP Devro s.r.o.</t>
  </si>
  <si>
    <t>ZO OS KOVO Brano Jilemnice</t>
  </si>
  <si>
    <t>Anemonka, o.s.</t>
  </si>
  <si>
    <t>Jindřichovice pod Smrkem</t>
  </si>
  <si>
    <t>Centrum Konipas, z.ú.</t>
  </si>
  <si>
    <t>"Dietersbach o.s."</t>
  </si>
  <si>
    <t>EIC Jindřichovice pod Smrkem, z. s.</t>
  </si>
  <si>
    <t>FK Sokol Jindřichovice pod Smrkem, z.s.</t>
  </si>
  <si>
    <t>Honební společenstvo Jindřichovice pod Smrkem</t>
  </si>
  <si>
    <t>„JANEČEK o.s.“</t>
  </si>
  <si>
    <t>"JANICO o.s."</t>
  </si>
  <si>
    <t>Jisam z.s.</t>
  </si>
  <si>
    <t>KALAMIJANE z.s.</t>
  </si>
  <si>
    <t>LUNARIA, z. s.</t>
  </si>
  <si>
    <t>MANTULIE z. s.</t>
  </si>
  <si>
    <t>"MOTOVEŠ o.s."</t>
  </si>
  <si>
    <t>Myslivecký spolek Kamenný vrch</t>
  </si>
  <si>
    <t>Myslivecký spolek KRKAVEC Jindřichovice pod Smrkem</t>
  </si>
  <si>
    <t>Myslivecký spolek KUKAČKA</t>
  </si>
  <si>
    <t>NADACE SÍLA PRO ŽIVOT</t>
  </si>
  <si>
    <t>NOS z.s.</t>
  </si>
  <si>
    <t>O. s. Kryšpín</t>
  </si>
  <si>
    <t>Občanská beseda Jindřichovice</t>
  </si>
  <si>
    <t>Občanská iniciativa obyvatel obce Jindřichovice pod Smrkem</t>
  </si>
  <si>
    <t>Okrašlovací spolek Jindra, z.s.</t>
  </si>
  <si>
    <t>Regionální sdružení pro podporu a rozvoj cestovního ruchu "Valdštejn"</t>
  </si>
  <si>
    <t>Revital North</t>
  </si>
  <si>
    <t>„sdružení nájemníků č.p. 367 o.s.“</t>
  </si>
  <si>
    <t>Sdružení rodičů a přátel dětí při ZŠ a MŠ v Jindřichovicích pod Sm.</t>
  </si>
  <si>
    <t>SH ČMS - Sbor dobrovolných hasičů Jindřichovice pod Smrkem</t>
  </si>
  <si>
    <t>Spolek pro zvelebení jindřichovického kostela Campana, z.s.</t>
  </si>
  <si>
    <t>„SPUP o.s.”</t>
  </si>
  <si>
    <t>Zájmové sdružení PROSPERITA</t>
  </si>
  <si>
    <t>ENERKOM Tanvaldsko z. s.</t>
  </si>
  <si>
    <t>Jiřetín pod Bukovou</t>
  </si>
  <si>
    <t>Jizerskohorský klub</t>
  </si>
  <si>
    <t>Plešinger, z.s.</t>
  </si>
  <si>
    <t>Rozvoj Tanvaldska z.s.</t>
  </si>
  <si>
    <t>SKI DETOA Albrechtice</t>
  </si>
  <si>
    <t>Spolek Patron</t>
  </si>
  <si>
    <t>Spolek přátel Jiřetína</t>
  </si>
  <si>
    <t>Sportovci pro Jizerské hory</t>
  </si>
  <si>
    <t>Sportovní klub Jiřetín pod Bukovou</t>
  </si>
  <si>
    <t>Tělovýchovná jednota Albrechtice v Jiz.horách/Jiřetín</t>
  </si>
  <si>
    <t>Divadelní spolek J. K. Tyl Josefův Důl</t>
  </si>
  <si>
    <t>Josefův Důl</t>
  </si>
  <si>
    <t>Mistrovská škola řemesel a umění Josefův Důl, z.ú.</t>
  </si>
  <si>
    <t>MS Peklo - Josefův Důl</t>
  </si>
  <si>
    <t>Občanské sdružení obyvatel a chalupářů obce Josefův Důl</t>
  </si>
  <si>
    <t>Rodinné centrum Aura, z.s., v likvidaci</t>
  </si>
  <si>
    <t>Sdružení rodičů a přátel školy v likvidaci</t>
  </si>
  <si>
    <t>SH ČMS - Sbor dobrovolných hasičů Josefův Důl</t>
  </si>
  <si>
    <t>spolek Centrum Aura</t>
  </si>
  <si>
    <t>Tadeášek pomáhá, z.s.</t>
  </si>
  <si>
    <t>Tata Tereza, z.s.</t>
  </si>
  <si>
    <t>Tělovýchovná jednota Jiskra Josefův Důl, z.s.</t>
  </si>
  <si>
    <t>zapsaný spolek Pepikáček</t>
  </si>
  <si>
    <t>FISH ANGEL, z.s.</t>
  </si>
  <si>
    <t>Jílové u Držkova</t>
  </si>
  <si>
    <t>SH ČMS - Sbor dobrovolných hasičů Jílové u Držkova</t>
  </si>
  <si>
    <t>TJ Sokol Jílové</t>
  </si>
  <si>
    <t>Radosti, z.s.</t>
  </si>
  <si>
    <t>Kacanovy</t>
  </si>
  <si>
    <t>SH ČMS - Sbor dobrovolných hasičů Kacanovy</t>
  </si>
  <si>
    <t>TJ Sokol Kacanovy, z.s.</t>
  </si>
  <si>
    <t>Asociace TOM ČR, TOM 9908 Zelený les v likvidaci</t>
  </si>
  <si>
    <t>Kamenický Šenov</t>
  </si>
  <si>
    <t>Asociace turistických oddílů mládeže ČR,TOM 1018 Magneti</t>
  </si>
  <si>
    <t>AST Kamenický Šenov z.s.</t>
  </si>
  <si>
    <t>AUTOKLUB KAMENICKÝ ŠENOV V ČR</t>
  </si>
  <si>
    <t>Bikebase.cz</t>
  </si>
  <si>
    <t>"Bryx o.s."</t>
  </si>
  <si>
    <t>"Bydlení s Rozumem" z.s.</t>
  </si>
  <si>
    <t>B4</t>
  </si>
  <si>
    <t>CK Kolokrám-Svijany o.s.</t>
  </si>
  <si>
    <t>Česká asociace silového trojboje z.s.</t>
  </si>
  <si>
    <t>Český svaz včelařů, z.s., základní organizace Kamenický Šenov</t>
  </si>
  <si>
    <t>Ďáblové ze severu, z.s.</t>
  </si>
  <si>
    <t>FBC Lvi Kamenický Šenov z.s.</t>
  </si>
  <si>
    <t>FK SKLO Kamenický Šenov zapsaný spolek</t>
  </si>
  <si>
    <t>„FX3A o.s.”</t>
  </si>
  <si>
    <t>GPC Česká republika - Asociace silového trojboje, občanské sdružení</t>
  </si>
  <si>
    <t>Hravé děti</t>
  </si>
  <si>
    <t>IHC 2007 KAMENICKÝ ŠENOV, z.s.</t>
  </si>
  <si>
    <t>Klub biatlonu Manušice, p.s.</t>
  </si>
  <si>
    <t>Klub orientačního běhu Kamenický Šenov z.s.</t>
  </si>
  <si>
    <t>Klub přátel Střední uměleckoprůmyslové školy sklářské Kamenický Šenov z.s.</t>
  </si>
  <si>
    <t>KLUB SENIORŮ KAMENICKÝ ŠENOV z.s.</t>
  </si>
  <si>
    <t>KVH Falke z.s.</t>
  </si>
  <si>
    <t>Light and Glass - Evropská společnost a dokumentační centrum pro lustry, světlo a osvětlení, z.s.</t>
  </si>
  <si>
    <t>Lillife, z. s.</t>
  </si>
  <si>
    <t>Misijní skupina Křesťanské společenství Kamenický Šenov</t>
  </si>
  <si>
    <t>Moto Sport Klub - středisko motorismu mládeže Panská Skála, z.s.</t>
  </si>
  <si>
    <t>MS Sluka Kamenický Šenov v likvidaci</t>
  </si>
  <si>
    <t>Myslivecký spolek Okrouhlá-Prácheň</t>
  </si>
  <si>
    <t>Nadační fond Eliáška</t>
  </si>
  <si>
    <t>Naše invence, z.s.</t>
  </si>
  <si>
    <t>OBČANSKÉ SDRUŽENÍ KOSTELNÍ VRCH</t>
  </si>
  <si>
    <t>Občanský spolek LEDÁRNA</t>
  </si>
  <si>
    <t>Občanský spolek NA VÝSLUNÍ</t>
  </si>
  <si>
    <t>Občanský spolek SONOW</t>
  </si>
  <si>
    <t>Odborový svaz skla, keramiky a porcelánu, Základní organizace PRECIOSA-LUSTRY, a.s.</t>
  </si>
  <si>
    <t>Římskokatolická farnost Kamenický Šenov</t>
  </si>
  <si>
    <t>Římskokatolická farnost Prácheň</t>
  </si>
  <si>
    <t>Sdružení rodičů a přátel školy Kamenický Šenov</t>
  </si>
  <si>
    <t>SH ČMS - Sbor dobrovolných hasičů Kamenický Šenov</t>
  </si>
  <si>
    <t>SK Kamenický Šenov</t>
  </si>
  <si>
    <t>SK METALPOWER POWERLIFTING</t>
  </si>
  <si>
    <t>Spolek - Jezdecký klub Kamenický Šenov - Prácheň, z. s.</t>
  </si>
  <si>
    <t>Spolek Eliáška</t>
  </si>
  <si>
    <t>Spolek Křišťálové ženy</t>
  </si>
  <si>
    <t>Spolek Lunaria Kamenický Šenov</t>
  </si>
  <si>
    <t>Spolek přátel Rheinbachu,z.s.</t>
  </si>
  <si>
    <t>Spolek Rabštejn</t>
  </si>
  <si>
    <t>Spolek sympozia rytého skla, z. s.</t>
  </si>
  <si>
    <t>Spolek žen Kamenický Šenov</t>
  </si>
  <si>
    <t>Sportovní klub stolního tenisu Prysk</t>
  </si>
  <si>
    <t>Svaz postižených civilizačními chorobami v ČR, z.s. základní organizace Kamenický Šenov</t>
  </si>
  <si>
    <t>Šenovská vydra</t>
  </si>
  <si>
    <t>Tenisový klub Kamenický Šenov</t>
  </si>
  <si>
    <t>TJ Jiskra Kamenický Šenov, Sokolská 629, z.s.</t>
  </si>
  <si>
    <t>Young Glass Symposium z.s.</t>
  </si>
  <si>
    <t>Základní organizace Českomoravského odborového svazu pracovníků školství při Základní škole Kamernický Šenov</t>
  </si>
  <si>
    <t>FK Sedmihorky z.s.</t>
  </si>
  <si>
    <t>Karlovice</t>
  </si>
  <si>
    <t>Honební společenstvo Karlovice</t>
  </si>
  <si>
    <t>Myslivecký spolek Bažantnice-Sedmihorky</t>
  </si>
  <si>
    <t>SH ČMS - Sbor dobrovolných hasičů Karlovice</t>
  </si>
  <si>
    <t>Spolek Sedmihorky, z.s.</t>
  </si>
  <si>
    <t>Středisko ekologické výchovy Český Ráj, z.s.</t>
  </si>
  <si>
    <t>ZO ČSOP Sedmihorky</t>
  </si>
  <si>
    <t>Myslivecký spolek Klokočské skály</t>
  </si>
  <si>
    <t>Klokočí</t>
  </si>
  <si>
    <t>SH ČMS - Sbor dobrovolných hasičů Klokočí</t>
  </si>
  <si>
    <t>Chraňme krajinný ráz Suchých skal</t>
  </si>
  <si>
    <t>Koberovy</t>
  </si>
  <si>
    <t>Fotbalový klub Besedice o.s.</t>
  </si>
  <si>
    <t>klub THE COUNTRY MUSIC SALOON o.s.</t>
  </si>
  <si>
    <t>KOBEROVSKÁ SPORTOVNÍ z.s.</t>
  </si>
  <si>
    <t>SH ČMS - Sbor dobrovolných hasičů Koberovy</t>
  </si>
  <si>
    <t>Spolek pro obnovu venkova Libereckého kraje - SPOV LK "v likvidaci"</t>
  </si>
  <si>
    <t>Tělocvičná jednota Sokol Vrát</t>
  </si>
  <si>
    <t>TJ Sokol Koberovy z.s.</t>
  </si>
  <si>
    <t>Základní organizace Českého zahrádkářského svazu Besedice</t>
  </si>
  <si>
    <t>SH ČMS - Sbor dobrovolných hasičů Havlovice</t>
  </si>
  <si>
    <t>Kobyly</t>
  </si>
  <si>
    <t>SH ČMS - Sbor dobrovolných hasičů Kobyly</t>
  </si>
  <si>
    <t>SOPKA 2007, z. s.</t>
  </si>
  <si>
    <t>Tělocvičná jednota Sokol Kobyly</t>
  </si>
  <si>
    <t>Tenisový klub Nechálov z.s.</t>
  </si>
  <si>
    <t>Útulek pro opuštěná zvířata BONA, o.p.s.</t>
  </si>
  <si>
    <t>Kozly</t>
  </si>
  <si>
    <t>Zábavně sportovní klub Kozly z.s.</t>
  </si>
  <si>
    <t>"ŽIVOT SE PSY"</t>
  </si>
  <si>
    <t>Czech countryside o.s.</t>
  </si>
  <si>
    <t>Kořenov</t>
  </si>
  <si>
    <t>Etnica Spolek</t>
  </si>
  <si>
    <t>Honební společenstvo Kořenov</t>
  </si>
  <si>
    <t>Jezdecký a turistický klub Jizerka</t>
  </si>
  <si>
    <t>JIZERKY PRO VÁS obecně prospěšná společnost</t>
  </si>
  <si>
    <t>Křižovatka, z. s.</t>
  </si>
  <si>
    <t>Nadační fond Křižovatka</t>
  </si>
  <si>
    <t>Polubenský Jan, z. s.</t>
  </si>
  <si>
    <t>Rejdický spolek, z.s.</t>
  </si>
  <si>
    <t>Římskokatolická farnost Desná</t>
  </si>
  <si>
    <t>Římskokatolická farnost Polubný</t>
  </si>
  <si>
    <t>Římskokatolická farnost Příchovice</t>
  </si>
  <si>
    <t>SH ČMS - Sbor dobrovolných hasičů Horní Polubný</t>
  </si>
  <si>
    <t>SH ČMS - Sbor dobrovolných hasičů Příchovice</t>
  </si>
  <si>
    <t>Ski Team Pinguin o.s.</t>
  </si>
  <si>
    <t>Spolek občanské sounáležitosti ZVONY</t>
  </si>
  <si>
    <t>Spolek přátel osady Jizerka o.s.</t>
  </si>
  <si>
    <t>Spolek zdravotně postižených z.s.</t>
  </si>
  <si>
    <t>Spolek 1el z.s.</t>
  </si>
  <si>
    <t>SPORT KLUB ČÁP</t>
  </si>
  <si>
    <t>Sportovní klub Polubný spolek</t>
  </si>
  <si>
    <t>Tělovýchovná jednota Slavoj Kořenov z.s.</t>
  </si>
  <si>
    <t>Tělovýchovná jednota Sokol Horní Polubný, z.s.</t>
  </si>
  <si>
    <t>TJ Sokol Rejdice</t>
  </si>
  <si>
    <t>Český rybářský svaz, z. s., místní organizace Košťálov</t>
  </si>
  <si>
    <t>Košťálov</t>
  </si>
  <si>
    <t>Federace strojvůdců České republiky, základní organizace Liberecko</t>
  </si>
  <si>
    <t>FK Košťálov - Libštát, z. s.</t>
  </si>
  <si>
    <t>HONEBNÍ SPOLEČENSTVO KOŠŤÁLOV</t>
  </si>
  <si>
    <t>Myslivecký spolek Skalice Košťálov</t>
  </si>
  <si>
    <t>SBM motorsport v AČR</t>
  </si>
  <si>
    <t>SH ČMS - Sbor dobrovolných hasičů Košťálov</t>
  </si>
  <si>
    <t>SH ČMS - Sbor dobrovolných hasičů Kundratice</t>
  </si>
  <si>
    <t>Tělocvičná jednota Sokol Košťálov</t>
  </si>
  <si>
    <t>TJ Sokol Kundratice, z.s.</t>
  </si>
  <si>
    <t>Základní organizace Českého zahrádkářského svazu Košťálov</t>
  </si>
  <si>
    <t>FK Kravaře, z.s.</t>
  </si>
  <si>
    <t>Kravaře</t>
  </si>
  <si>
    <t>Honební společenstvo Liběšice</t>
  </si>
  <si>
    <t>Myslivecké sdružení Kravaře z.s.</t>
  </si>
  <si>
    <t>Nadační fond Ahmadyar</t>
  </si>
  <si>
    <t>Časopis Biograf z.s.</t>
  </si>
  <si>
    <t>Krompach</t>
  </si>
  <si>
    <t>Jánské kameny - Johannisstein, z.s.</t>
  </si>
  <si>
    <t>Myslivecké sdružení KROMPACH-HVOZD</t>
  </si>
  <si>
    <t>o.s. EROR</t>
  </si>
  <si>
    <t>o.s.Média 007</t>
  </si>
  <si>
    <t>Sdružení pro Krompach z.s.</t>
  </si>
  <si>
    <t>SH ČMS - Sbor dobrovolných hasičů Krompach</t>
  </si>
  <si>
    <t>Spolek pro ochranu životního prostředí, architektonické a urbanistické hodnoty obce Krompach, z. s.</t>
  </si>
  <si>
    <t>TÁBOR SVIŠŤŮ z.s.</t>
  </si>
  <si>
    <t>Divadelní spolek Amálka v likvidaci</t>
  </si>
  <si>
    <t>Kruh</t>
  </si>
  <si>
    <t>Myslivecký spolek Kruh</t>
  </si>
  <si>
    <t>SH ČMS - Sbor dobrovolných hasičů Kruh</t>
  </si>
  <si>
    <t>Spolek Kruh, o.s. v likvidaci</t>
  </si>
  <si>
    <t>Svaz postižených civilizačními chorobami v ČR , o.s. základní organizace Roztoky - Kruh</t>
  </si>
  <si>
    <t>Tělocvičná jednota Sokol Kruh u Jilemnice</t>
  </si>
  <si>
    <t>Tenisový klub Kruh z. s.</t>
  </si>
  <si>
    <t>Folklórní soubor JIZERA Liberec, z.s.</t>
  </si>
  <si>
    <t>Kryštofovo Údolí</t>
  </si>
  <si>
    <t>Kryštofoúdolský okrašlovací spolek</t>
  </si>
  <si>
    <t>Myslivecký spolek Andělská Hora - Kryštofovo Údolí</t>
  </si>
  <si>
    <t>Myslivecký spolek Svatý Kryštof</t>
  </si>
  <si>
    <t>Nadační fond Martina Chaloupky</t>
  </si>
  <si>
    <t>NOVINA AQUA, o.s.</t>
  </si>
  <si>
    <t>O.Z.I.S. ODBORNÝ ZÁJMOVÝ INTENCIONÁLNÍ SPOLEK</t>
  </si>
  <si>
    <t>Římskokatolická farnost Kryštofovo Údolí</t>
  </si>
  <si>
    <t>SH ČMS - Sbor dobrovolných hasičů Kryštofovo Údolí</t>
  </si>
  <si>
    <t>TJ Kryštofovo Údolí, z.s.</t>
  </si>
  <si>
    <t>100 chutí, zapsaný ústav</t>
  </si>
  <si>
    <t>Předškolní vzdělávání</t>
  </si>
  <si>
    <t>Azyl pes Krásný Les, z. s.</t>
  </si>
  <si>
    <t>Krásný Les</t>
  </si>
  <si>
    <t>DEXTEROUS</t>
  </si>
  <si>
    <t>Fotbalový club Krásný Les z.s.</t>
  </si>
  <si>
    <t>Honební společenstvo Krásný Les</t>
  </si>
  <si>
    <t>Myslivecký spolek Bažantnice Krásný Les</t>
  </si>
  <si>
    <t>SFbK Frýdlant z.s.</t>
  </si>
  <si>
    <t>SH ČMS - Sbor dobrovolných hasičů Krásný Les</t>
  </si>
  <si>
    <t>Sdružení „přátel Ktové”</t>
  </si>
  <si>
    <t>Ktová</t>
  </si>
  <si>
    <t>SH ČMS - Sbor dobrovolných hasičů Ktová</t>
  </si>
  <si>
    <t>Český svaz včelařů, z.s., základní organizace Frýdlant</t>
  </si>
  <si>
    <t>Kunratice</t>
  </si>
  <si>
    <t>Honební společenstvo Kunratice</t>
  </si>
  <si>
    <t>KUPA, z.s.</t>
  </si>
  <si>
    <t>Občanské sdružení Kunratických Romů</t>
  </si>
  <si>
    <t>Rybářský spolek Kunratická tůň</t>
  </si>
  <si>
    <t>SH ČMS - Sbor dobrovolných hasičů Kunratice</t>
  </si>
  <si>
    <t>Tělovýchovná jednota Sokol Kunratice</t>
  </si>
  <si>
    <t>Tělovýchovná jednota Sokol Kunratice, spolek</t>
  </si>
  <si>
    <t>be FENIX z.s.</t>
  </si>
  <si>
    <t>Kunratice u Cvikova</t>
  </si>
  <si>
    <t>Centrum Generace, o.p.s.</t>
  </si>
  <si>
    <t>KŘIŠŤÁLOVÝ CHRÁM z. s.</t>
  </si>
  <si>
    <t>LIBERECKO LIDEM GRUP o.s.</t>
  </si>
  <si>
    <t>Myslivecký spolek Lindava-Kunratice</t>
  </si>
  <si>
    <t>SH ČMS - Sbor dobrovolných hasičů Kunratice u Cvikova</t>
  </si>
  <si>
    <t>SK Kunratice u Cvikova z.s.</t>
  </si>
  <si>
    <t>Spolek WEPA</t>
  </si>
  <si>
    <t>Triatlon Kunratice u Cvikova z. s.</t>
  </si>
  <si>
    <t>Honební společenstvo Zahrádky</t>
  </si>
  <si>
    <t>Kvítkov</t>
  </si>
  <si>
    <t>Jezdecký klub Kvítkov</t>
  </si>
  <si>
    <t>Kvítkov o.s.</t>
  </si>
  <si>
    <t>Kvítkovský klub z.s.</t>
  </si>
  <si>
    <t>TJ Kvítko, z.s.</t>
  </si>
  <si>
    <t>Arabicus - sdružení přátel koní</t>
  </si>
  <si>
    <t>Křižany</t>
  </si>
  <si>
    <t>Česká hasičská jednota - hasičský sbor Podještědí</t>
  </si>
  <si>
    <t>Český svaz včelařů, z.s., základní organizace Křižany</t>
  </si>
  <si>
    <t>Honební společenstvo Křižany</t>
  </si>
  <si>
    <t>Honební společenstvo Křižany - Žibřidice</t>
  </si>
  <si>
    <t>Křižanský trpaslík, z.s.</t>
  </si>
  <si>
    <t>Myslivecký spolek Křižany, z.s.</t>
  </si>
  <si>
    <t>Myslivecký spolek Šesterák Žibřidice</t>
  </si>
  <si>
    <t>Nové vzdělávání Třešňová, z. s.</t>
  </si>
  <si>
    <t>Občanské sdružení ENVIRONET</t>
  </si>
  <si>
    <t>Pomoc maminkám v nouzi, z.s.</t>
  </si>
  <si>
    <t>Rolinka - Koňský domov důchodců, z.s.</t>
  </si>
  <si>
    <t>Chov koní a jiných koňovitých</t>
  </si>
  <si>
    <t>Sdružení Leopoldina</t>
  </si>
  <si>
    <t>Sdružení přátel sportu a turistiky</t>
  </si>
  <si>
    <t>SH ČMS - Sbor dobrovolných hasičů Křižany</t>
  </si>
  <si>
    <t>SK Žibřidice, z.s.</t>
  </si>
  <si>
    <t>Spolek pro obnovu Staré školy Křižany</t>
  </si>
  <si>
    <t>TJ Žibřidice</t>
  </si>
  <si>
    <t>TRI SHARDS, z.s.</t>
  </si>
  <si>
    <t>Vítr do plachet pro Eleonorku, z. s.</t>
  </si>
  <si>
    <t>MOTOKLUB OHRAZENICE, o.s. v likvidaci</t>
  </si>
  <si>
    <t>Lažany</t>
  </si>
  <si>
    <t>SH ČMS -  Sbor dobrovolných hasičů Lažany</t>
  </si>
  <si>
    <t>Honební společenstvo Levínská Olešnice</t>
  </si>
  <si>
    <t>Levínská Olešnice</t>
  </si>
  <si>
    <t>Honební společenstvo Vidochov</t>
  </si>
  <si>
    <t>Myslivecký spolek Levínská Olešnice</t>
  </si>
  <si>
    <t>Ryu Te Kempo Jilemnice, z.s.</t>
  </si>
  <si>
    <t>SH ČMS - Sbor dobrovolných hasičů Levínská Olešnice</t>
  </si>
  <si>
    <t>SH ČMS - Sbor dobrovolných hasičů Žďár u Staré Paky</t>
  </si>
  <si>
    <t>Spolek Trampská osada Zlatá rokle</t>
  </si>
  <si>
    <t>AC Slovan Liberec, z. s.</t>
  </si>
  <si>
    <t>Liberec (nečleněné město)</t>
  </si>
  <si>
    <t>Accounting &amp; Tax Services, z.s.</t>
  </si>
  <si>
    <t>Ace High Poker Club Liberec o.s.</t>
  </si>
  <si>
    <t>Active art,z.s.</t>
  </si>
  <si>
    <t>Adamas team z.s.</t>
  </si>
  <si>
    <t>ADRENALIN-CLUB</t>
  </si>
  <si>
    <t>ADVAITA, z. ú.</t>
  </si>
  <si>
    <t>Sociální péče v zařízeních pro osoby závislé na návykových látkách</t>
  </si>
  <si>
    <t>Adventisté Sedmého Dne Reformní Hnutí, z.s.</t>
  </si>
  <si>
    <t>AEROKLUB DUKLA, MNICHOVO HRADIŠTĚ</t>
  </si>
  <si>
    <t>Aeroklub Liberec - Motorový klub z.s.</t>
  </si>
  <si>
    <t>Aeroklub Liberec z.s.</t>
  </si>
  <si>
    <t>Aerorozvědka z.s.</t>
  </si>
  <si>
    <t>AGAPE Sdružení pro podporu a rozvoj aktivit dětí ZŠ Starý Harcov</t>
  </si>
  <si>
    <t>Agency Profi Servicy, z.s. v likvidaci</t>
  </si>
  <si>
    <t>AGENDA 8, z. s.</t>
  </si>
  <si>
    <t>Agentura FLORBAL. cz</t>
  </si>
  <si>
    <t>AgiFly team, z.s.</t>
  </si>
  <si>
    <t>AIESEC Liberec</t>
  </si>
  <si>
    <t>Organizační jednotka mezinárodní nevládní organizace</t>
  </si>
  <si>
    <t>A.I.M., z.s.</t>
  </si>
  <si>
    <t>Akademická legie České republiky</t>
  </si>
  <si>
    <t>Akademický sportovní klub Technické univerzity v Liberci, z. s.</t>
  </si>
  <si>
    <t>Akademie Jana Amose Komenského Liberec z. s.</t>
  </si>
  <si>
    <t>Akademie Jana Blahoslava z.ú.</t>
  </si>
  <si>
    <t>Akademie Rinosport - pobočka LBK Liberec</t>
  </si>
  <si>
    <t>Akcent Liberec, z.s.</t>
  </si>
  <si>
    <t>AKS Liberec</t>
  </si>
  <si>
    <t>Aktivní život o.p.s.</t>
  </si>
  <si>
    <t>AKU - AUTOKLUB KUKLA LIBEREC</t>
  </si>
  <si>
    <t>Alberto, z. s.  pro podporu Diecézního katechetického centra Biskupství litoměřického</t>
  </si>
  <si>
    <t>ALDEBARAN - LDT, z. s.</t>
  </si>
  <si>
    <t>Aleb, z.s.</t>
  </si>
  <si>
    <t>Alfa marketing</t>
  </si>
  <si>
    <t>Alfa ONE z.s.</t>
  </si>
  <si>
    <t>ALIANCE MILITARY CLUBS ČR</t>
  </si>
  <si>
    <t>Alikvotní sbor Spektrum, z.s.</t>
  </si>
  <si>
    <t>Alliance Francaise Liberec z.s.</t>
  </si>
  <si>
    <t>Mezinárodní nevládní organizace</t>
  </si>
  <si>
    <t>Vzdělávání v jazykových školách</t>
  </si>
  <si>
    <t>Alopex, z. s.</t>
  </si>
  <si>
    <t>ALVALÍDA, z.s.</t>
  </si>
  <si>
    <t>Ambulantní nebo terénní sociální služby pro osoby se zdravotním postižením</t>
  </si>
  <si>
    <t>Americká 838 LB, Liberec 3</t>
  </si>
  <si>
    <t>Americký Bandog Asociace (American Bandog Associacion)</t>
  </si>
  <si>
    <t>Amos, z.s.</t>
  </si>
  <si>
    <t>Andy Liberec, o.s.</t>
  </si>
  <si>
    <t>Antonius, z. s.</t>
  </si>
  <si>
    <t>Aosta, z.s.</t>
  </si>
  <si>
    <t>Apoštolská církev Liberec</t>
  </si>
  <si>
    <t>AQUA KLUB Liberec, pobočný spolek Svazu českých potápěčů</t>
  </si>
  <si>
    <t>ARCHA 13 o.p.s.</t>
  </si>
  <si>
    <t>Výzkum a vývoj v oblasti společenských a humanitních věd</t>
  </si>
  <si>
    <t>ARCUS - Společnost onkologických pacientů, jejich rodinných příslušníků a přátel, z.s.</t>
  </si>
  <si>
    <t>Argonaut Creative Lab z.s.</t>
  </si>
  <si>
    <t>ARIS, o.s.</t>
  </si>
  <si>
    <t>ARMY ASSOCIATION</t>
  </si>
  <si>
    <t>Aromia z.s.</t>
  </si>
  <si>
    <t>Ars iuvenum, spolek pro podporu kultury v Liberci</t>
  </si>
  <si>
    <t>"ARS-TECH, o.s."</t>
  </si>
  <si>
    <t>ART Liberec spolek</t>
  </si>
  <si>
    <t>Art Scale T1, z.s.</t>
  </si>
  <si>
    <t>Art Week Liberec, z.s.</t>
  </si>
  <si>
    <t>Artemisska, z.s.</t>
  </si>
  <si>
    <t>ASCOT MB motosport</t>
  </si>
  <si>
    <t>ASK LIBEREC</t>
  </si>
  <si>
    <t>ASO Triatlon Team Liberec</t>
  </si>
  <si>
    <t>Asociace Comeniana z.s.</t>
  </si>
  <si>
    <t>Asociace euroregionů České republiky, z.s.</t>
  </si>
  <si>
    <t>Asociace hotelierů</t>
  </si>
  <si>
    <t>Asociace MISA ČR, z. s.</t>
  </si>
  <si>
    <t>Asociace nestátních neziskových organizací Libereckého kraje - ANNOLK</t>
  </si>
  <si>
    <t>Asociace odborových sportů okresu Liberec</t>
  </si>
  <si>
    <t>Asociace pracovníků Pedagogicko-psychologických poraden, z.s.</t>
  </si>
  <si>
    <t>Asociace pro didaktiku dějepisu, z. s.</t>
  </si>
  <si>
    <t>Asociace projektantů plynárenských zařízení</t>
  </si>
  <si>
    <t>Architektonické a inženýrské činnosti a související technické poradenství</t>
  </si>
  <si>
    <t>Asociace rodičů a přátel zdravotně postižených dětí v ČR, z. s. Klub Liberec</t>
  </si>
  <si>
    <t>ASOCIACE SOCIÁLNÍHO PODNIKÁNÍ, občanské sdružení</t>
  </si>
  <si>
    <t>Asociace stolního tenisu vozíčkářů o.s.</t>
  </si>
  <si>
    <t>Asociace TOM ČR, TOM 20507 Radovánka Liberec</t>
  </si>
  <si>
    <t>Asociace TOM, ČR TOM 20508 Orion Liberec</t>
  </si>
  <si>
    <t>Asociace TOM ČR, TOM 20509 Štístka</t>
  </si>
  <si>
    <t>Asociace turistických oddílů mládeže ČR, TOM reg. č. 20512 Fénix</t>
  </si>
  <si>
    <t>Asociace výtvarných pedagogů, z. s.</t>
  </si>
  <si>
    <t>Asplenon, z. s.</t>
  </si>
  <si>
    <t>AstronAUT, z. s.</t>
  </si>
  <si>
    <t>Činnosti ostatních organizací sdružujících osoby za účelem prosazování společných zájmů</t>
  </si>
  <si>
    <t>A-STYL z. s.</t>
  </si>
  <si>
    <t>ATELIÉR TUBA z.ú.</t>
  </si>
  <si>
    <t>Atrium, spolek přátel penzionu pro seniory</t>
  </si>
  <si>
    <t>AUF z.s.</t>
  </si>
  <si>
    <t>Auto klub invalidů v AČR</t>
  </si>
  <si>
    <t>AUTO KLUB LIBEREC V AČR</t>
  </si>
  <si>
    <t>Auto Moto Turning Club Liberec v likvidaci</t>
  </si>
  <si>
    <t>AUTO PARTNERS</t>
  </si>
  <si>
    <t>Autoclub Ještěd, o.s.</t>
  </si>
  <si>
    <t>AUTOKLUB PROSPORT v AČR LIBEREC</t>
  </si>
  <si>
    <t>Auto-moto klub Liberec z.s.</t>
  </si>
  <si>
    <t>AUTOMOTOKLUB V ČSAK PRŮMSTAV PARDUBICE</t>
  </si>
  <si>
    <t>Aviatik club Hradčany, z.s.</t>
  </si>
  <si>
    <t>AVIATIK Liberec</t>
  </si>
  <si>
    <t>AZOV, vzájemně podpůrný spolek</t>
  </si>
  <si>
    <t>Badmintonový klub Liberec, z.s.</t>
  </si>
  <si>
    <t>Balbínova 423 a 424 LB</t>
  </si>
  <si>
    <t>Ball z. s.</t>
  </si>
  <si>
    <t>Banán, z.s.</t>
  </si>
  <si>
    <t>Barevný život z. s.</t>
  </si>
  <si>
    <t>BASENJI KLUB BOHEMIA, z.s.</t>
  </si>
  <si>
    <t>Beach club Harcov - Liberec, z.s.</t>
  </si>
  <si>
    <t>Benefitní klub zaměstnanců a příslušníků IZS, z.s.</t>
  </si>
  <si>
    <t>Berka fight centrum z.s.</t>
  </si>
  <si>
    <t>Bernina, z.s.</t>
  </si>
  <si>
    <t>BETTA</t>
  </si>
  <si>
    <t>BETYNKA Liberec, o.p.s.</t>
  </si>
  <si>
    <t>Bezpečně na silnicích o.p.s.</t>
  </si>
  <si>
    <t>BĚŽECKÁ PARTIČKA z. s.</t>
  </si>
  <si>
    <t>BIBACHTALE, z.s.</t>
  </si>
  <si>
    <t>BICYCLE CLUB LIBEREC 1886, z.s.</t>
  </si>
  <si>
    <t>Bike &amp; Ski Racing Team z.s.</t>
  </si>
  <si>
    <t>Bili Oslavy, z.s.</t>
  </si>
  <si>
    <t>BIOEKO 21 o.s. v likvidaci</t>
  </si>
  <si>
    <t>BK SKAPA TURNOV z. s.</t>
  </si>
  <si>
    <t>bodyguard.cz, z. s.</t>
  </si>
  <si>
    <t>Bohemia Cantat Liberec, z.s.</t>
  </si>
  <si>
    <t>BOHEMIA HELP, o.p.s.</t>
  </si>
  <si>
    <t>Bonne dei z. s.</t>
  </si>
  <si>
    <t>Bonsai klub Liberec</t>
  </si>
  <si>
    <t>Boveraclub z.s.</t>
  </si>
  <si>
    <t>Bowlingový klub Jablonec nad Nisou v likvidaci</t>
  </si>
  <si>
    <t>Box Club - H Liberec z.s.</t>
  </si>
  <si>
    <t>Box Club Malec - Liberec z.s.</t>
  </si>
  <si>
    <t>BOX KLUB MALEC - LIBEREC, o.s.</t>
  </si>
  <si>
    <t>Brána pro kulturu a vzdělávání</t>
  </si>
  <si>
    <t>Brankářská škola H+j o.s.</t>
  </si>
  <si>
    <t>Braňte se chytře, z.s.</t>
  </si>
  <si>
    <t>Bruslařský klub Liberec</t>
  </si>
  <si>
    <t>Bruslařský klub Variace Liberec, z.s.</t>
  </si>
  <si>
    <t>Břetislavova 305 LB</t>
  </si>
  <si>
    <t>Břetislavova 306 LB</t>
  </si>
  <si>
    <t>Břetislavova 307 LB</t>
  </si>
  <si>
    <t>B-SOUL z.s.</t>
  </si>
  <si>
    <t>BUSINESS CLUB Liberec o.s.</t>
  </si>
  <si>
    <t>Bussines Assistance, z.s.</t>
  </si>
  <si>
    <t>Byty Raisova z.ú.</t>
  </si>
  <si>
    <t>Ostatní pobytové služby sociální péče</t>
  </si>
  <si>
    <t>CANTEMUS</t>
  </si>
  <si>
    <t>Central European and China Technology &amp; Trade Institute z. s.</t>
  </si>
  <si>
    <t>Centrum Caspian, z. ú.</t>
  </si>
  <si>
    <t>Centrum duševního zdraví Fokus Liberec z.ú.</t>
  </si>
  <si>
    <t>Centrum Kašpar, z. s.</t>
  </si>
  <si>
    <t>Činnosti agentur zprostředkujících zaměstnání</t>
  </si>
  <si>
    <t>Centrum LIRA, z.ú.</t>
  </si>
  <si>
    <t>Centrum odborného rozvoje, z.ú.</t>
  </si>
  <si>
    <t>Centrum Potůček, z.s.</t>
  </si>
  <si>
    <t>Centrum Poznání</t>
  </si>
  <si>
    <t>CENTRUM PRO ZDRAVOTNĚ POSTIŽENÉ Libereckého kraje, o.p.s.</t>
  </si>
  <si>
    <t>Centrum Protěž, z.ú.</t>
  </si>
  <si>
    <t>Centrum správy parašutismu</t>
  </si>
  <si>
    <t>Centrum volného času - Arabela, z. s.</t>
  </si>
  <si>
    <t>Centrum vzdělávání a kultury z.s.</t>
  </si>
  <si>
    <t>CEPROS - centrum pro podporu rozvoje společnosti, o.s.</t>
  </si>
  <si>
    <t>CESTY</t>
  </si>
  <si>
    <t>Charita Liberec</t>
  </si>
  <si>
    <t>Pobytové služby sociální péče</t>
  </si>
  <si>
    <t>Chráněné dílny LBC, z.s.</t>
  </si>
  <si>
    <t>CHRÁNÍME VODU, z.s.</t>
  </si>
  <si>
    <t>Chraňme kulturní dědictví !</t>
  </si>
  <si>
    <t>Církev víry, misijní skupina Liberec</t>
  </si>
  <si>
    <t>CL - Charlie Lima CB klub Česká Lípa,z.s.</t>
  </si>
  <si>
    <t>Club Hispano-Suiza and Classics Czech Republic, z.s.</t>
  </si>
  <si>
    <t>Club Under Gate o.s.</t>
  </si>
  <si>
    <t>CLUTEX - Klastr Technické textilie,z.s.</t>
  </si>
  <si>
    <t>COGNITIO z.s.</t>
  </si>
  <si>
    <t>Comunités, z. s.</t>
  </si>
  <si>
    <t>Convention 2000, z.s.</t>
  </si>
  <si>
    <t>cool-NISA-tour z. s.</t>
  </si>
  <si>
    <t>Coolturně bez bariér, z.s.</t>
  </si>
  <si>
    <t>Country - Western Club Liberec</t>
  </si>
  <si>
    <t>Country klub Ploukonice</t>
  </si>
  <si>
    <t>COUNTRY ROCK ŠANCE Liberec, z. s.</t>
  </si>
  <si>
    <t>Country Rytmus Liberec</t>
  </si>
  <si>
    <t>Coworkingový Motor Liberce o.p.s.</t>
  </si>
  <si>
    <t>CPHM klub v AČR</t>
  </si>
  <si>
    <t>CREAT z.s.</t>
  </si>
  <si>
    <t>Cross-Border-Cooperation Nisa, občanské sdružení</t>
  </si>
  <si>
    <t>Crossminton Liberec zapsaný spolek</t>
  </si>
  <si>
    <t>C.S.H. United</t>
  </si>
  <si>
    <t>CULTIO, o. s.</t>
  </si>
  <si>
    <t>Cum decore, pěvecký sbor při Gymnáziu F. X. Šaldy, z.s.</t>
  </si>
  <si>
    <t>C.V.I.K. - celoživotní vzdělávání o.s.</t>
  </si>
  <si>
    <t>Cycling for life, z.s.</t>
  </si>
  <si>
    <t>Cyklisticko-lyžařský klub ,,LYKO´´</t>
  </si>
  <si>
    <t>Cyklisticko-volejbalový klub CVOK</t>
  </si>
  <si>
    <t>CYKLOFIT LIBEREC MTB TEAM, z.s.</t>
  </si>
  <si>
    <t>Cyklostezka Karoliny Světlé v Podještědí, z. s.</t>
  </si>
  <si>
    <t>CYKLOTRIAL KLUB LIBEREC V AČR</t>
  </si>
  <si>
    <t>Czech and Slovak PASSAT CLUB, z. s.</t>
  </si>
  <si>
    <t>Czech Clubmakers Association</t>
  </si>
  <si>
    <t>Czech powerkiting Club</t>
  </si>
  <si>
    <t>Czech Women with Wings, z.s.</t>
  </si>
  <si>
    <t>CzechINVENT technologická agentura, o.p.s.</t>
  </si>
  <si>
    <t>ČAATS, z.s. Klub technických sportů TU v Liberci</t>
  </si>
  <si>
    <t>ČESKÁ AKADEMIE KARATE,o.s.</t>
  </si>
  <si>
    <t>Česká asociace majitelů nemovitostí, z.s.</t>
  </si>
  <si>
    <t>Česká beseda, krajanské sdružení rodáků a přátel Liberecka, z.s.</t>
  </si>
  <si>
    <t>Činnosti organizací na podporu kulturní činnosti</t>
  </si>
  <si>
    <t>Česká federace Ju Jutsu</t>
  </si>
  <si>
    <t>Česká federace mankalových her, o. s.</t>
  </si>
  <si>
    <t>ČESKÁ FOTBALŠIPKOVÁ ASOCIACE z.s.</t>
  </si>
  <si>
    <t>Česká Freestyle Fotbalová Asociace, z.s.</t>
  </si>
  <si>
    <t>ČESKÁ GREYHOUND A WHIPPET FEDERACE</t>
  </si>
  <si>
    <t>Česká lékařská komora se sídlem v Olomouci, okresní sdružení Liberec</t>
  </si>
  <si>
    <t>Česká lesnická společnost Liberec, p.s.</t>
  </si>
  <si>
    <t>Česká speleologická společnost, základní organizace 4-01, Liberec</t>
  </si>
  <si>
    <t>Česká společnost pro osvětlování regionální skupina  Liberec, pobočný spolek</t>
  </si>
  <si>
    <t>Česká tábornická unie - T.O. Osada Jizera Liberec, p.s.</t>
  </si>
  <si>
    <t>Česká tábornická unie - Velká rada oblasti Severočeské, p.s.</t>
  </si>
  <si>
    <t>Česká vodíková asociace</t>
  </si>
  <si>
    <t>ČESKO INTERNATIONAL 911</t>
  </si>
  <si>
    <t>Českomoravská myslivecká jednota, z.s.- okresní myslivecký spolek Liberec</t>
  </si>
  <si>
    <t>Českomoravská unie neslyšících z.s., oblastní pobočný spolek Liberec</t>
  </si>
  <si>
    <t>Českomoravský odborový svaz pracovníků školství, základní organizace Gymnázium a Střední odborná škola pedagogická, Liberec, Jeronýmova 425/24, příspěvková orga</t>
  </si>
  <si>
    <t>ČESKO-NĚMECKÉ FÓRUM, o. s.</t>
  </si>
  <si>
    <t>Česko-německo-polské porozumění, o.p.s.</t>
  </si>
  <si>
    <t>Činnosti v oblasti zahraničních věcí</t>
  </si>
  <si>
    <t>ČESKOSLOVENSKÉ TURISTICKÉ SDRUŽENÍ PŘÁTELÉ PŘÍRODY - MÍSTNÍ KLUB</t>
  </si>
  <si>
    <t>Český benchrestový střelecký klub Liberec, o.s.</t>
  </si>
  <si>
    <t>Český kynologický svaz ZKO Liberec - Centrum - 742</t>
  </si>
  <si>
    <t>Český kynologický svaz ZKO Liberec - Pavlovice - 219</t>
  </si>
  <si>
    <t>Český kynologický svaz ZKO Vratislavice nad Nisou - 519</t>
  </si>
  <si>
    <t>Český rybářský svaz, z. s., místní organizace Liberec</t>
  </si>
  <si>
    <t>Český svaz chovatelů Základní organizace - Sdružení chovatelů ušlechtilých koček Liberec</t>
  </si>
  <si>
    <t>Český svaz chovatelů, z.s., Základní organizace chovatelů holubů Liberec</t>
  </si>
  <si>
    <t>Český svaz chovatelů, z.s., Základní organizace Liberec - Horní Hanychov</t>
  </si>
  <si>
    <t>Český svaz kriketových funkcionářů z. s.</t>
  </si>
  <si>
    <t>Český svaz ochránců přírody Chiroptero</t>
  </si>
  <si>
    <t>„Český svaz sportu pro všechny, o.s.”</t>
  </si>
  <si>
    <t>Český svaz stavebních inženýrů oblastní pobočka Liberec, z.s.</t>
  </si>
  <si>
    <t>Český svaz včelařů, z.s., základní organizace Chrastava</t>
  </si>
  <si>
    <t>Český svaz včelařů, z.s., základní organizace Hejnice</t>
  </si>
  <si>
    <t>Český svaz včelařů, z.s., základní organizace Liberec</t>
  </si>
  <si>
    <t>Český ústav pro dopravu a sport, z.ú.</t>
  </si>
  <si>
    <t>Český včelařský institut z.ú.</t>
  </si>
  <si>
    <t>Český zahrádkářský svaz ZO Liberec 9 Janův Důl v likvidaci</t>
  </si>
  <si>
    <t>"Čistá Výšina, Liberec, o. s."</t>
  </si>
  <si>
    <t>Čisté klima z. s.</t>
  </si>
  <si>
    <t>Čmelák - Společnost přátel přírody z.s.</t>
  </si>
  <si>
    <t>ČMOS PŠ ZOOS - Střední odborná škola Liberec</t>
  </si>
  <si>
    <t>ČSS, z.s. - Liberecké krajské sdružení</t>
  </si>
  <si>
    <t>ČSS, z.s. - sportovně střelecký klub INVA</t>
  </si>
  <si>
    <t>ČSS, z.s. - sportovně střelecký klub Liberec</t>
  </si>
  <si>
    <t>ČSS, z.s. - sportovně střelecký klub Ruprechtice - Liberec</t>
  </si>
  <si>
    <t>ČTPT - Česká technologická platforma pro textil, z.s.</t>
  </si>
  <si>
    <t>ČTU - T.O. Severka Liberec, p.s.</t>
  </si>
  <si>
    <t>@DAMO IT</t>
  </si>
  <si>
    <t>Déčko Liberec z.s.</t>
  </si>
  <si>
    <t>Dedication for Humanity and Revitalization Association</t>
  </si>
  <si>
    <t>Deek, z. s.</t>
  </si>
  <si>
    <t>Delfíno</t>
  </si>
  <si>
    <t>Delta klub Liberec z.s.</t>
  </si>
  <si>
    <t>DENSO Nadace CZ</t>
  </si>
  <si>
    <t>DePejSek Liberec z.s.</t>
  </si>
  <si>
    <t>Děti ráje železnice, z.s.</t>
  </si>
  <si>
    <t>Dětská sportovně ozdravná společnost Bělásek z.s.</t>
  </si>
  <si>
    <t>Dětská srdíčka, z. s.</t>
  </si>
  <si>
    <t>Dětský folklorní soubor Jizerka, z.s.</t>
  </si>
  <si>
    <t>Devětsil, o.s.</t>
  </si>
  <si>
    <t>DH Liberec, o.p.s.</t>
  </si>
  <si>
    <t>Sociální péče v domovech pro osoby se zdravotním postižením</t>
  </si>
  <si>
    <t>Diakonie Beránek z.s.</t>
  </si>
  <si>
    <t>Diamondevent, z.s.</t>
  </si>
  <si>
    <t>DIR-Team Czech republic o.s.</t>
  </si>
  <si>
    <t>DIR-TEAM-EUROPE o.s.</t>
  </si>
  <si>
    <t>Divadelní soubor Proměny</t>
  </si>
  <si>
    <t>Dive Expedition Club, z.s.</t>
  </si>
  <si>
    <t>Divizna</t>
  </si>
  <si>
    <t>"Divoká a okolní ulice"</t>
  </si>
  <si>
    <t>DIVOKEJ IR z. s.</t>
  </si>
  <si>
    <t>Divozemí z.s.</t>
  </si>
  <si>
    <t>DNIPRO, vzájemně podpůrný spolek</t>
  </si>
  <si>
    <t>Dobré Srdce, o.s.</t>
  </si>
  <si>
    <t>Dobrý člověk z. s.</t>
  </si>
  <si>
    <t>DOCTRINA - sportovní klub o.s. v likvidaci</t>
  </si>
  <si>
    <t>DOMINO Liberec z.s.</t>
  </si>
  <si>
    <t>Domky</t>
  </si>
  <si>
    <t>Domov Raisova z.ú.</t>
  </si>
  <si>
    <t>DONA z.s.</t>
  </si>
  <si>
    <t>DORINA dance z.s.</t>
  </si>
  <si>
    <t>DOST!</t>
  </si>
  <si>
    <t>Dovbush, z.s.</t>
  </si>
  <si>
    <t>DP Liberec - Petra Ryšavá, z.s.</t>
  </si>
  <si>
    <t>Dramacentrum Bezejména, z.s.</t>
  </si>
  <si>
    <t>DTJ Liberec</t>
  </si>
  <si>
    <t>DTJ NISA</t>
  </si>
  <si>
    <t>Duha Arabela</t>
  </si>
  <si>
    <t>DUHA Liberec o.p.s.</t>
  </si>
  <si>
    <t>Dům bratří františkánů Liberec</t>
  </si>
  <si>
    <t>Dvoreczech</t>
  </si>
  <si>
    <t>DYS - centrum Liberec</t>
  </si>
  <si>
    <t>DYSnosaurus o.s.</t>
  </si>
  <si>
    <t>E FOR YOU, z.s.</t>
  </si>
  <si>
    <t>EASY HELP o.p.s.</t>
  </si>
  <si>
    <t>Eco X, z.s.</t>
  </si>
  <si>
    <t>EDUCA QUALITY, z.s.</t>
  </si>
  <si>
    <t>Education for Employment, z.s.</t>
  </si>
  <si>
    <t>Ekologicky žít z.s.</t>
  </si>
  <si>
    <t>EKOPark Liberec, z.s.</t>
  </si>
  <si>
    <t>EKOVESNICE z.s.</t>
  </si>
  <si>
    <t>Elizabeth o.p.s.</t>
  </si>
  <si>
    <t>ELVA - HELP, o.s. Liberec</t>
  </si>
  <si>
    <t>ELVA HELP z.s.</t>
  </si>
  <si>
    <t>EMESSPORTS z.s.</t>
  </si>
  <si>
    <t>Energetické společenství Liberec, z.s.</t>
  </si>
  <si>
    <t>ENJOY SPORT KLUB Liberec o.s.</t>
  </si>
  <si>
    <t>ENJOYSPORT, nadační fond, v likvidaci</t>
  </si>
  <si>
    <t>„Enneagramová asociace České republiky - Enneagram Association of Czech republic”</t>
  </si>
  <si>
    <t>enterra - výzkum, vzdělávání, komunikace, profesní podpora</t>
  </si>
  <si>
    <t>Erasmus Student Network Liberec z. s.</t>
  </si>
  <si>
    <t>Eugenia, o.p.s.</t>
  </si>
  <si>
    <t>EUNE</t>
  </si>
  <si>
    <t>EUREX CZ</t>
  </si>
  <si>
    <t>EURO KONGRES Liberec</t>
  </si>
  <si>
    <t>Euro Trade Association, z.s.</t>
  </si>
  <si>
    <t>EURO-BRIDGE z.s.</t>
  </si>
  <si>
    <t>Euro-Dialog</t>
  </si>
  <si>
    <t>EURODIDAKTIK</t>
  </si>
  <si>
    <t>Euroidea o.s., v likvidaci</t>
  </si>
  <si>
    <t>European Science and Art Corporation</t>
  </si>
  <si>
    <t>European tax and law institut</t>
  </si>
  <si>
    <t>EUROQUALITY, z.s.</t>
  </si>
  <si>
    <t>Euroregion Nisa</t>
  </si>
  <si>
    <t>EURYTMIE, z. s.</t>
  </si>
  <si>
    <t>Evangelizační exploze, z. s.</t>
  </si>
  <si>
    <t>Evropa bez hranic/ Europe without borders, z. s.</t>
  </si>
  <si>
    <t>Evropská venture kapitálová asociace, z.s.</t>
  </si>
  <si>
    <t>Evropský finanční institut</t>
  </si>
  <si>
    <t>Evropský rozvojový institut, z.s.</t>
  </si>
  <si>
    <t>„Exil 51, o.s.”</t>
  </si>
  <si>
    <t>Fanklub Bílí Tygři Liberec o.s.</t>
  </si>
  <si>
    <t>Fanprojekt Slovan Liberec, o.s.</t>
  </si>
  <si>
    <t>Farní sbor Českobratrské církve evangelické v Liberci</t>
  </si>
  <si>
    <t>FAUNUS, z. s.</t>
  </si>
  <si>
    <t>FBC Liberec, spolek</t>
  </si>
  <si>
    <t>FBC Panthers Liberec, z.s.</t>
  </si>
  <si>
    <t>FBK ICE MEN Liberec</t>
  </si>
  <si>
    <t>FC Nord servis 1993 Liberec o.s.</t>
  </si>
  <si>
    <t>FC RADOPEX Liberec</t>
  </si>
  <si>
    <t>FC RANGERS LIBEREC</t>
  </si>
  <si>
    <t>FC SLOVAN LIBEREC - mládež, spolek</t>
  </si>
  <si>
    <t>FC Stará garda Slovan Liberec, z.s.</t>
  </si>
  <si>
    <t>FC VW Autotrend o.s.</t>
  </si>
  <si>
    <t>Federace strojvůdců České republiky, základní organizace Liberec</t>
  </si>
  <si>
    <t>FEDERACE ŽELEZNIČÁŘŮ ČR</t>
  </si>
  <si>
    <t>FENOMÉN ČECH, z. s.</t>
  </si>
  <si>
    <t>Fifty-Festival, z. s.</t>
  </si>
  <si>
    <t>Filmový klub Liberec z.s.</t>
  </si>
  <si>
    <t>Promítání filmů</t>
  </si>
  <si>
    <t>"Filmový klub Zoom o.s."</t>
  </si>
  <si>
    <t>Finanční intelekt, občanské sdružení</t>
  </si>
  <si>
    <t>Fitness BeFitt4Life z.s.</t>
  </si>
  <si>
    <t>FLC o.s.</t>
  </si>
  <si>
    <t>FLOORBALL CLUB LIBEREC</t>
  </si>
  <si>
    <t>Florbal club Hardec Liberec - Slavia TU</t>
  </si>
  <si>
    <t>FLY YACHTING Liberec</t>
  </si>
  <si>
    <t>FOKUS Liberec o.p.s.</t>
  </si>
  <si>
    <t>Sociální prevence</t>
  </si>
  <si>
    <t>Fomaklub Liberec, z.s.</t>
  </si>
  <si>
    <t>Footgolf Liberec, z.s.</t>
  </si>
  <si>
    <t>Foreigners z.s. - v likvidaci</t>
  </si>
  <si>
    <t>Fórum rodičů pro kvalitu a rovnost ve vzdělávání</t>
  </si>
  <si>
    <t>Fotbal DP o. s.</t>
  </si>
  <si>
    <t>Fotbal pro radost-Liberec</t>
  </si>
  <si>
    <t>FotbalGolf z. s.</t>
  </si>
  <si>
    <t>Fotbalový klub Gedeon</t>
  </si>
  <si>
    <t>FOTBALOVÝ KLUB Krásná Studánka, spolek</t>
  </si>
  <si>
    <t>Fotoklub Obscura</t>
  </si>
  <si>
    <t>Freenet Liberec, z. s.</t>
  </si>
  <si>
    <t>Freeride Team Ještěd</t>
  </si>
  <si>
    <t>Futsalový klub Zlej se(n) Liberec, z. s.</t>
  </si>
  <si>
    <t>FUTURA NOSTRA</t>
  </si>
  <si>
    <t>Garáže u Monstrance z.s.</t>
  </si>
  <si>
    <t>Garáže VESEC, o.s.</t>
  </si>
  <si>
    <t>Garážová samospráva Kristiánov (GS)</t>
  </si>
  <si>
    <t>Gaudeamus Liberec, o.s.</t>
  </si>
  <si>
    <t>Geotermální energie pro občany o.p.s.</t>
  </si>
  <si>
    <t>Gigantic Racing Team z.s.</t>
  </si>
  <si>
    <t>Glaris, z.s.</t>
  </si>
  <si>
    <t>GOLD EDUCATION</t>
  </si>
  <si>
    <t>Golf Club Golfcentrum Liberec z.s.</t>
  </si>
  <si>
    <t>Golf Club Liberec - Machnín, spolek</t>
  </si>
  <si>
    <t>GOLF CLUB YPSILON, z.s.</t>
  </si>
  <si>
    <t>GOLF MUZEUM YPSILON, z.s.</t>
  </si>
  <si>
    <t>Činnosti muzeí</t>
  </si>
  <si>
    <t>Golfový klub "Golfino"</t>
  </si>
  <si>
    <t>Grácie o.s.</t>
  </si>
  <si>
    <t>GREAT PEAK z.s.</t>
  </si>
  <si>
    <t>GREEN VALLEY GOLF CLUB, z.s.</t>
  </si>
  <si>
    <t>"Greens Liberec o.s."</t>
  </si>
  <si>
    <t>Grofa 1748, z.s. v likvidaci</t>
  </si>
  <si>
    <t>GRYF z.s.</t>
  </si>
  <si>
    <t>Guerilla Marketing, z.s.</t>
  </si>
  <si>
    <t>Gymnastika Liberec z.s.</t>
  </si>
  <si>
    <t>G300 - spolek</t>
  </si>
  <si>
    <t>HAND FOR HELP EUROPE, O.S.</t>
  </si>
  <si>
    <t>Hanychovská 565 LB</t>
  </si>
  <si>
    <t>Hanychovský spolek dětí, rodičů a kamarádů /Drak/</t>
  </si>
  <si>
    <t>Happy Day, z.s.</t>
  </si>
  <si>
    <t>Harmonie Liberec z. s.</t>
  </si>
  <si>
    <t>HESU - Liberec, z.s.</t>
  </si>
  <si>
    <t>HIFI klub Liberec, z. s.</t>
  </si>
  <si>
    <t>HistoryTech, z.s.</t>
  </si>
  <si>
    <t>Hlas severu</t>
  </si>
  <si>
    <t>HMS z.s.</t>
  </si>
  <si>
    <t>Hnutí pomoc Volyni</t>
  </si>
  <si>
    <t>HO KRUH Liberec z.s.</t>
  </si>
  <si>
    <t>H.O. PRODUKČNÍ o.s.</t>
  </si>
  <si>
    <t>HO Šutr, z.s.</t>
  </si>
  <si>
    <t>Hokejbalový spolek Liberec</t>
  </si>
  <si>
    <t>HOKEJOVÁ AKADEMIE ČR - HOCKEY ACADEMY Czech Republic</t>
  </si>
  <si>
    <t>Honební společenstvo Liberec-Machnín</t>
  </si>
  <si>
    <t>Honební společenstvo Liberec-Vesec</t>
  </si>
  <si>
    <t>Honební společenstvo Nová Ves - Mlýnice</t>
  </si>
  <si>
    <t>Honební společenstvo Zdislava - Krásný Potok</t>
  </si>
  <si>
    <t>Horolezecká aréna z.s.</t>
  </si>
  <si>
    <t>Horolezecký oddíl Horní Hanychov</t>
  </si>
  <si>
    <t>Horská</t>
  </si>
  <si>
    <t>Hospic pro Liberecký kraj</t>
  </si>
  <si>
    <t>Hospic sv. Zdislavy, o.p.s.</t>
  </si>
  <si>
    <t>HOSTR-ALEX Liberec</t>
  </si>
  <si>
    <t>Hovercraft Water Rescue</t>
  </si>
  <si>
    <t>Hraniční prostor</t>
  </si>
  <si>
    <t>Hravá žabička z.s.</t>
  </si>
  <si>
    <t>HSRC Liberec p.s.</t>
  </si>
  <si>
    <t>Hungry Heart, z.s.</t>
  </si>
  <si>
    <t>HUSIČKA, z.s.</t>
  </si>
  <si>
    <t>Husitská 174 LB, Liberec 9</t>
  </si>
  <si>
    <t>Husitská 175 LB, Liberec 9</t>
  </si>
  <si>
    <t>Husitská 179,180,181 LB</t>
  </si>
  <si>
    <t>Husitská 182 a 183 LB</t>
  </si>
  <si>
    <t>IAESTE LC Liberec</t>
  </si>
  <si>
    <t>ianus Liberec, v likvidaci</t>
  </si>
  <si>
    <t>iChange, z.s.</t>
  </si>
  <si>
    <t>II. mateřská škola Preciosa, o.p.s.</t>
  </si>
  <si>
    <t>ILMA z.s.</t>
  </si>
  <si>
    <t>Imjoy z.s.</t>
  </si>
  <si>
    <t>INF nord, z.s.</t>
  </si>
  <si>
    <t>Inlajn.Cz, z.s.</t>
  </si>
  <si>
    <t>Institut integrativní muzikoterapie, z. ú.</t>
  </si>
  <si>
    <t>Institut pro udržitelný rozvoj o. p. s.</t>
  </si>
  <si>
    <t>Institut rodinné terapie a psychosomatické medicíny v Liberci, o.p.s.</t>
  </si>
  <si>
    <t>Institut vzdělání a výzkumu v AAS, z. s.</t>
  </si>
  <si>
    <t>Integrační centrum AVIT, z.s.</t>
  </si>
  <si>
    <t>Integrační centrum BALTAZAR, z.s.</t>
  </si>
  <si>
    <t>Integrační centrum CEDA, z.s.</t>
  </si>
  <si>
    <t>International Police Association, sekce Česká republika z.s., územní skupina č. 117 Liberec v likvidaci</t>
  </si>
  <si>
    <t>INTERNET PRO NAŠE DĚTI</t>
  </si>
  <si>
    <t>IPMS Liberec</t>
  </si>
  <si>
    <t>IQLANDIA, o.p.s.</t>
  </si>
  <si>
    <t>Jablonecký okresní svaz stolního tenisu, z.s.</t>
  </si>
  <si>
    <t>Jabloňová 226/41 LB</t>
  </si>
  <si>
    <t>Jabloňová 409 a 410 LB</t>
  </si>
  <si>
    <t>Jabloňová 413 a 414 LB</t>
  </si>
  <si>
    <t>JANTAR TEAM LIBEREC</t>
  </si>
  <si>
    <t>J.A.S. Vitea Nature, z.ú.</t>
  </si>
  <si>
    <t>J&amp;D Sport</t>
  </si>
  <si>
    <t>Jednota bratrská</t>
  </si>
  <si>
    <t>Církve a náboženské společnosti</t>
  </si>
  <si>
    <t>Jednota bratrská Liberec - Ruprechtice</t>
  </si>
  <si>
    <t>Jednota bratrská Růžodol</t>
  </si>
  <si>
    <t>Jednota českých matematiků a fyziků, pobočný spolek Liberec</t>
  </si>
  <si>
    <t>Jelení loje z.s.</t>
  </si>
  <si>
    <t>Jen tak folk Liberec</t>
  </si>
  <si>
    <t>JENA M nadační fond</t>
  </si>
  <si>
    <t>Jeronýmova 475 a 476 LB</t>
  </si>
  <si>
    <t>Ještědská Odysea z. s.</t>
  </si>
  <si>
    <t>Ještědský horní spolek</t>
  </si>
  <si>
    <t>Jezdecká společnost Liberec, z.s.</t>
  </si>
  <si>
    <t>Jezdecký klub FOR-HORSES z.s.</t>
  </si>
  <si>
    <t>Jezdecký klub Liberec, z.s.</t>
  </si>
  <si>
    <t>Jezdecký klub Prašný dvůr</t>
  </si>
  <si>
    <t>Jezdecký klub-Stáj Nicol Liberec</t>
  </si>
  <si>
    <t>Jiráskova 301 LB</t>
  </si>
  <si>
    <t>Jízda veteránů, z. s.</t>
  </si>
  <si>
    <t>Jizerská arkádie 95</t>
  </si>
  <si>
    <t>Jizersko-ještědský horský spolek</t>
  </si>
  <si>
    <t>Jizerský bodlák taneční osada, z.s.</t>
  </si>
  <si>
    <t>JK Sever Liberec z.s.</t>
  </si>
  <si>
    <t>Jóga v denním životě Liberec, z.s.</t>
  </si>
  <si>
    <t>J.S.M.E.</t>
  </si>
  <si>
    <t>Judoclub Liberec, z.s.</t>
  </si>
  <si>
    <t>Junák - český skaut, Liberecký kraj, z. s.</t>
  </si>
  <si>
    <t>Junák - český skaut, přístav Flotila Liberec, z. s.</t>
  </si>
  <si>
    <t>Junák - český skaut, přístav Maják Liberec, z. s.</t>
  </si>
  <si>
    <t>Junák - český skaut, středisko Ještěd Liberec, z. s.</t>
  </si>
  <si>
    <t>Junák - český skaut, středisko Mustang Liberec, z. s.</t>
  </si>
  <si>
    <t>Junák - český skaut, středisko Stopa Liberec, z. s.</t>
  </si>
  <si>
    <t>Kanárci.cz</t>
  </si>
  <si>
    <t>KASPO z.s.</t>
  </si>
  <si>
    <t>KC KOOPERATIVA MTB</t>
  </si>
  <si>
    <t>KČT, Liberecká oblast</t>
  </si>
  <si>
    <t>Kedjom-Keku z.s.</t>
  </si>
  <si>
    <t>KERDA COLNAGO CZ</t>
  </si>
  <si>
    <t>KH sportovní klub</t>
  </si>
  <si>
    <t>Kids Original, z. s.</t>
  </si>
  <si>
    <t>Kin-ball - pobočka Liberec z.s.</t>
  </si>
  <si>
    <t>KINERA, z.s.</t>
  </si>
  <si>
    <t>Kino Varšava z.s.</t>
  </si>
  <si>
    <t>KITA NO YAMA JORI TAKEMUSU AIKI DOKOKAI z.s.</t>
  </si>
  <si>
    <t>Klub absolventů Podještědského gymnázia, z.s.</t>
  </si>
  <si>
    <t>Klub Abstinujících (anonymních) alkoholiků</t>
  </si>
  <si>
    <t>Klub biatlonu Liberec, p.s.</t>
  </si>
  <si>
    <t>KLUB ČESKÝCH ZNAČKAŘŮ, z.s.</t>
  </si>
  <si>
    <t>Klub Escrima Wing Tsun Shot Liberec (zkratka EWTS klub Liberec)</t>
  </si>
  <si>
    <t>Klub Gymnázia F. X. Šaldy, z.s.</t>
  </si>
  <si>
    <t>Klub historického šermu a divadla GREX Liberec</t>
  </si>
  <si>
    <t>Klub hledačů a přátel historie Maffersdorf</t>
  </si>
  <si>
    <t>Klub Hudební mládeže Liberec</t>
  </si>
  <si>
    <t>Klub kaktusářů Liberec</t>
  </si>
  <si>
    <t>Klub kouzel Liberec</t>
  </si>
  <si>
    <t>Klub mládeže stolního tenisu Liberec, z.s.</t>
  </si>
  <si>
    <t>Klub potápěčů SNAKESUB o.s.</t>
  </si>
  <si>
    <t>Klub přátel irské kultury</t>
  </si>
  <si>
    <t>Klub přátel Jana JARKY, z.s.</t>
  </si>
  <si>
    <t>Klub přátel Ještědu</t>
  </si>
  <si>
    <t>Klub přátel stolních her Liberec z.s.</t>
  </si>
  <si>
    <t>Klub Přátel Stolního Tenisu Liberec</t>
  </si>
  <si>
    <t>Klub rodičů a přátel školy při ZŠ Vesec, z.s.</t>
  </si>
  <si>
    <t>Klub rodičů při Jedličkově speciální škole v likvidaci</t>
  </si>
  <si>
    <t>Klub rozumných babiček</t>
  </si>
  <si>
    <t>Klub sportovního bruslení Liberec</t>
  </si>
  <si>
    <t>"Klub stolního tenisu Preciosa Liberec"</t>
  </si>
  <si>
    <t>"Klub stolního tenisu Victory Liberec, z.s."</t>
  </si>
  <si>
    <t>Klub tradičních čínských cvičení</t>
  </si>
  <si>
    <t>Klub ultralehkého létání Liberec z.s.</t>
  </si>
  <si>
    <t>Klub Virgule-Psychotronika</t>
  </si>
  <si>
    <t>Klub vodní turistiky mládeže DELTA</t>
  </si>
  <si>
    <t>Klub vodního lyžování Stráž pod Ralskem z.s.</t>
  </si>
  <si>
    <t>Klub vojáků v záloze Liberec</t>
  </si>
  <si>
    <t>Klub vojenské historické techniky Liberec v AČR</t>
  </si>
  <si>
    <t>Klub vojenské historie Fort 37 - Spolek pro opevnění</t>
  </si>
  <si>
    <t>Klub vojenské historie Tobruk-Dunkerque z. s.</t>
  </si>
  <si>
    <t>Klub Volupsije - zájmové sdružení</t>
  </si>
  <si>
    <t>Klub Zelený Vršek,o.s.</t>
  </si>
  <si>
    <t>Klub železničních modelářů Liberec, z.s.</t>
  </si>
  <si>
    <t>Koko Ono - komunitní kurník z. s.</t>
  </si>
  <si>
    <t>KOLONEL SHŠ</t>
  </si>
  <si>
    <t>KOLO-TOČ</t>
  </si>
  <si>
    <t>Komora mediátorů a facilitátorů České republiky, z.s.</t>
  </si>
  <si>
    <t>KOMUNA PLUS, z.ú.</t>
  </si>
  <si>
    <t>Komunitní práce Liberec, o.p.s.</t>
  </si>
  <si>
    <t>Úklidové činnosti</t>
  </si>
  <si>
    <t>Konsorcium uživatelů knihovnického systému Rapid Library</t>
  </si>
  <si>
    <t>Kooperace Liberec - St.Gallen</t>
  </si>
  <si>
    <t>Koordinační odborový orgán ZO OS STAVBA ČR při EUROVIA Kamenolomy, a.s. Liberec</t>
  </si>
  <si>
    <t>Koupaliště Sluníčko, z.s.</t>
  </si>
  <si>
    <t>Kozinova 1248 a 1249 LB</t>
  </si>
  <si>
    <t>KPZ RADKAT z. s.</t>
  </si>
  <si>
    <t>"KRAB KLUB o.s."</t>
  </si>
  <si>
    <t>Krajina a zahrada z.s.</t>
  </si>
  <si>
    <t>Krajinská 1246 a 1247 LB</t>
  </si>
  <si>
    <t>KRAJSKÁ ORGANIZACE ČUS LIBERECKÉHO KRAJE</t>
  </si>
  <si>
    <t>KRAJSKÁ ORGANIZACE SPMP ČR - LIBERECKÝ KRAJ</t>
  </si>
  <si>
    <t>Krajská rada Asociace školních sportovních klubů České republiky Libereckého kraje, pobočný spolek</t>
  </si>
  <si>
    <t>Krajské pracoviště podpory zaměstnanosti, z.s.</t>
  </si>
  <si>
    <t>Krajský svaz ČSPS - Liberecký kraj</t>
  </si>
  <si>
    <t>Krajský svaz juda Libereckého kraje, pobočný spolek Českého svazu juda</t>
  </si>
  <si>
    <t>Krajský svaz stolního tenisu Libereckého kraje, z.s.</t>
  </si>
  <si>
    <t>KRÁSNÁ STUDÁNKA u LIBERCE</t>
  </si>
  <si>
    <t>Kreativní Liberec, z.s.</t>
  </si>
  <si>
    <t>Kruh autorů Liberecka</t>
  </si>
  <si>
    <t>Kruh přátel Severáčku z.s.</t>
  </si>
  <si>
    <t>Kryštofova LB</t>
  </si>
  <si>
    <t>Křesťanská základní škola  a mateřská škola J. A. Komenského</t>
  </si>
  <si>
    <t>Křesťanské společenství víry, naděje a lásky</t>
  </si>
  <si>
    <t>K-SYNCOM o.s.</t>
  </si>
  <si>
    <t>Kukadla</t>
  </si>
  <si>
    <t>Kultura z. s.</t>
  </si>
  <si>
    <t>Kultura 2000</t>
  </si>
  <si>
    <t>Kulturní sdružení Kejklířky</t>
  </si>
  <si>
    <t>Kunst spolek, z. s.</t>
  </si>
  <si>
    <t>Květnové revoluce 263 a 264 LB</t>
  </si>
  <si>
    <t>KVINTUS, spolek</t>
  </si>
  <si>
    <t>La Papera z.s.</t>
  </si>
  <si>
    <t>Labradoodle klub o.s.</t>
  </si>
  <si>
    <t>LAK - Liberecký autorský kruh, z. s.</t>
  </si>
  <si>
    <t>Lesní koupaliště, z.s.</t>
  </si>
  <si>
    <t>Lesní mateřská škola Lesmír z.s.</t>
  </si>
  <si>
    <t>LESpolek z.s.</t>
  </si>
  <si>
    <t>Letci Liberec z.s. plk. Františka Truhláře</t>
  </si>
  <si>
    <t>Leteckomodelářský OK klub Liberec</t>
  </si>
  <si>
    <t>"Letečtí modeláři Mníšek, o.s."</t>
  </si>
  <si>
    <t>Lewandulka z. s.</t>
  </si>
  <si>
    <t>Lezci.com, z.s.</t>
  </si>
  <si>
    <t>LHT Association, z.s.</t>
  </si>
  <si>
    <t>LIAS z.s.</t>
  </si>
  <si>
    <t>Liberec Business School, obecně prospěšná společnost</t>
  </si>
  <si>
    <t>Liberec Discgolf Club - Hunters o. s.</t>
  </si>
  <si>
    <t>Liberec otevřený lidem, z.s.</t>
  </si>
  <si>
    <t>Liberec Racing o.s.</t>
  </si>
  <si>
    <t>LIBEREC 2025, z. s.</t>
  </si>
  <si>
    <t>Liberecká aktivita - občanské sdružení</t>
  </si>
  <si>
    <t>"Liberecká brána" z. s.</t>
  </si>
  <si>
    <t>Liberecká dobročinnost, z.s.</t>
  </si>
  <si>
    <t>Liberecká krajská asociace Sport pro všechny z.s.</t>
  </si>
  <si>
    <t>Liberecká obec unitářů</t>
  </si>
  <si>
    <t>Liberecká Plachta z. s.</t>
  </si>
  <si>
    <t>Liberecká sociální poradenská činnost</t>
  </si>
  <si>
    <t>Liberecká sportovní a tělovýchovná organizace z.s.</t>
  </si>
  <si>
    <t>Liberecká unie výtvarných umělců</t>
  </si>
  <si>
    <t>LIBERECKÉ DIVADLO, o. s.</t>
  </si>
  <si>
    <t>Liberecké gazely z. s.</t>
  </si>
  <si>
    <t>Liberecké hnízdo, z. s.</t>
  </si>
  <si>
    <t>"Liberecké klavírní trio"</t>
  </si>
  <si>
    <t>LIBERECKÉ ROMSKÉ SDRUŽENÍ, o.s.</t>
  </si>
  <si>
    <t>Liberecké světlo z.s.</t>
  </si>
  <si>
    <t>LIBERECKÝ GOLD KLUB z. s.</t>
  </si>
  <si>
    <t>Liberecký institut pro psychoterapii a psychosomatiku, o.p.s.</t>
  </si>
  <si>
    <t>Liberecký krajský atletický svaz</t>
  </si>
  <si>
    <t>LIBERECKÝ KRAJSKÝ FOTBALOVÝ SVAZ</t>
  </si>
  <si>
    <t>Liberecký krajský svaz cyklistiky, z.s.</t>
  </si>
  <si>
    <t>Liberecký krajský volejbalový svaz</t>
  </si>
  <si>
    <t>Liberecký pokerový klub o.s.</t>
  </si>
  <si>
    <t>Liberecký seniorát Českobratrské církve evangelické</t>
  </si>
  <si>
    <t>Liberecký tenisový klub z.s.</t>
  </si>
  <si>
    <t>Liberecký Veřejný Technopark, z.s.</t>
  </si>
  <si>
    <t>Liberečan z.s.</t>
  </si>
  <si>
    <t>LICARD MODEL CLUB LIBEREC, z.s.</t>
  </si>
  <si>
    <t>Lichokopytník, z. s.</t>
  </si>
  <si>
    <t>Lidi pro Liberec</t>
  </si>
  <si>
    <t>LIGA NA OCHRANU ZVÍŘAT LIBEREC</t>
  </si>
  <si>
    <t>LigaPRO, z.s.</t>
  </si>
  <si>
    <t>LINEA</t>
  </si>
  <si>
    <t>LIST 2000 obecně prospěšná společnost</t>
  </si>
  <si>
    <t>Lísteček pro Liberec, z. ú.</t>
  </si>
  <si>
    <t>LÍSTEK - občanské sdružení</t>
  </si>
  <si>
    <t>Lišák Liberec z.s.</t>
  </si>
  <si>
    <t>LITE Jablonec, o.p.s.</t>
  </si>
  <si>
    <t>LITE LBC, o.p.s.</t>
  </si>
  <si>
    <t>LITE Liberec, o.p.s.</t>
  </si>
  <si>
    <t>Liwet z. s.</t>
  </si>
  <si>
    <t>LK Boulder z.s.</t>
  </si>
  <si>
    <t>LOK-o Liberec z.s.</t>
  </si>
  <si>
    <t>Lokodepo Liberec z.s.</t>
  </si>
  <si>
    <t>LOS PERVERZOS</t>
  </si>
  <si>
    <t>LOS-Liberecká občanská společnost, z. s.</t>
  </si>
  <si>
    <t>LUCKY POKER CLUB, o.s.</t>
  </si>
  <si>
    <t>MadBike Liberec z.s.</t>
  </si>
  <si>
    <t>MAGDALENIUM LIBEREC</t>
  </si>
  <si>
    <t>MAHONY SNOWBOARDS z.s.</t>
  </si>
  <si>
    <t>MaJa Liberec, z.s.</t>
  </si>
  <si>
    <t>MAJÁK o.p.s.</t>
  </si>
  <si>
    <t>Maják Plus, z. ú.</t>
  </si>
  <si>
    <t>Jiné ambulantní nebo terénní sociální služby j. n.</t>
  </si>
  <si>
    <t>Majestátní Ještěd, z.s.</t>
  </si>
  <si>
    <t>Malé studio Liberec</t>
  </si>
  <si>
    <t>MámJob.cz o.s.</t>
  </si>
  <si>
    <t>MAREVA z.s.</t>
  </si>
  <si>
    <t>Maršíkova 601 a 602 LB</t>
  </si>
  <si>
    <t>MARZ z.s.</t>
  </si>
  <si>
    <t>Mateřská škola - Liberecká jazyková školka, o.p.s.</t>
  </si>
  <si>
    <t>Mateřské centrum "IDYLA"</t>
  </si>
  <si>
    <t>Mateřské centrum (Z)matky, z.ú.</t>
  </si>
  <si>
    <t>MC PARSIFAL</t>
  </si>
  <si>
    <t>MCU KOLOSEUM, o.p.s.</t>
  </si>
  <si>
    <t>MELODIjE 2005</t>
  </si>
  <si>
    <t>Memoriae Loci, z. ú.</t>
  </si>
  <si>
    <t>Městský radioklub Liberec z.s.</t>
  </si>
  <si>
    <t>Mezi generacemi, z. s.</t>
  </si>
  <si>
    <t>Mezinárodní asociace pro bezpečí a ochranu zdravotnictví - IAHSS CZ, o.s.</t>
  </si>
  <si>
    <t>MEZINÁRODNÍ ASOCIACE SPOLEČNOSTÍ POJIŠŤOVACÍCH SLUŽEB (MAKSA)</t>
  </si>
  <si>
    <t>Mezinárodní sdružení zdravotně postižených Euroregionu Nisa v ČR</t>
  </si>
  <si>
    <t>Migstein, z.s.</t>
  </si>
  <si>
    <t>Military muzeum Liberec, z.s.</t>
  </si>
  <si>
    <t>Millitary History, z.s.</t>
  </si>
  <si>
    <t>Miniškolka Neonka z. s.</t>
  </si>
  <si>
    <t>Misijní skupina Křesťanské společenství Liberec</t>
  </si>
  <si>
    <t>Mission BIMpossible, z.s.</t>
  </si>
  <si>
    <t>Místní odborová organizace Odborového svazu pracovníků textilního, oděvního a kožedělného průmyslu Čech a Moravy LIBEREC</t>
  </si>
  <si>
    <t>Místní skupina Unie železničních zaměstnanců Železniční stanice Liberec</t>
  </si>
  <si>
    <t>Mistral Company</t>
  </si>
  <si>
    <t>Mistrovské hudební nástroje</t>
  </si>
  <si>
    <t>M.K. SHOW z.ú.</t>
  </si>
  <si>
    <t>Mladí ochránci přírody, Kletr</t>
  </si>
  <si>
    <t>Mobilita, o.p.s.</t>
  </si>
  <si>
    <t>Modelářský klub dráhových modelů automobilů Liberec</t>
  </si>
  <si>
    <t>Modelářský svět z.s.</t>
  </si>
  <si>
    <t>MODERNÍ GYMNASTIKA LIBEREC z.s.</t>
  </si>
  <si>
    <t>MODRÁ PLANETA, z.s.</t>
  </si>
  <si>
    <t>MOKUS</t>
  </si>
  <si>
    <t>Mondo team Liberec o. s.</t>
  </si>
  <si>
    <t>Monte spolek</t>
  </si>
  <si>
    <t>Moto Race Liberec, o.s.</t>
  </si>
  <si>
    <t>MOTOEMOTION, z.s.</t>
  </si>
  <si>
    <t>MOTOKLUB LIBEREC, o. s.</t>
  </si>
  <si>
    <t>MOTORACING23 KLUB V AČR</t>
  </si>
  <si>
    <t>Motorkáři Ořechovka, z.s.</t>
  </si>
  <si>
    <t>Motosport klub Liberec v AČR</t>
  </si>
  <si>
    <t>Motyčkovic klika z.s.</t>
  </si>
  <si>
    <t>Mountainboard club Liberec, o.s.</t>
  </si>
  <si>
    <t>MS ALBRECHT</t>
  </si>
  <si>
    <t>MS GOLF</t>
  </si>
  <si>
    <t>MS Jizerka</t>
  </si>
  <si>
    <t>MS Kňour Oldříš</t>
  </si>
  <si>
    <t>MS KUKUBA</t>
  </si>
  <si>
    <t>MS Liberec 14</t>
  </si>
  <si>
    <t>MS Machnín</t>
  </si>
  <si>
    <t>MSL - Moto Sport Liberec</t>
  </si>
  <si>
    <t>MŠ Petra, z. s.</t>
  </si>
  <si>
    <t>MTM pro Českou republiku</t>
  </si>
  <si>
    <t>MULTIMEDIA - klub pro rozvoj informačních technologií v domácnostech</t>
  </si>
  <si>
    <t>Mumini z. s.</t>
  </si>
  <si>
    <t>Muslimská obec v Liberci</t>
  </si>
  <si>
    <t>MY PROTI VŠEM, z. s.</t>
  </si>
  <si>
    <t>Myslivecké sdružení Břevniště - Špičák</t>
  </si>
  <si>
    <t>Myslivecké sdružení ERB-SKLOEXPORT</t>
  </si>
  <si>
    <t>Myslivecké sdružení Jindřichovice - Srbská</t>
  </si>
  <si>
    <t>Myslivecké sdružení Kateřinky, o.s.</t>
  </si>
  <si>
    <t>Myslivecké sdružení ROZKOŠ - VÁPENNÝ</t>
  </si>
  <si>
    <t>Myslivecký spolek ENDY</t>
  </si>
  <si>
    <t>Myslivecký spolek Harcov-Janov</t>
  </si>
  <si>
    <t>Myslivecký spolek Javorník - Pilínkov</t>
  </si>
  <si>
    <t>Myslivecký spolek Liberec - Machnín</t>
  </si>
  <si>
    <t>Náboženská obec Církve československé husitské v Liberci</t>
  </si>
  <si>
    <t>N.A.C.O.</t>
  </si>
  <si>
    <t>Nadace EURONISA</t>
  </si>
  <si>
    <t>Nadace Ivana Dejmala pro ochranu přírody</t>
  </si>
  <si>
    <t>Nadace Premedis</t>
  </si>
  <si>
    <t>Nadace pro rozvoj sportu v areálu Sport Park Liberec</t>
  </si>
  <si>
    <t>NADACE RABTEN</t>
  </si>
  <si>
    <t>Nadace RACEK</t>
  </si>
  <si>
    <t>NADACE SPIRA MIRABILIS</t>
  </si>
  <si>
    <t>Nadace SYNER</t>
  </si>
  <si>
    <t>NADACE ŠKOLA HROU</t>
  </si>
  <si>
    <t>Nadace 1457</t>
  </si>
  <si>
    <t>Nadační fond Epigenteo</t>
  </si>
  <si>
    <t>Nadační fond Gago</t>
  </si>
  <si>
    <t>Nadační fond Helping Hands Medical Project Jadan India</t>
  </si>
  <si>
    <t>Nadační fond IQLANDIA</t>
  </si>
  <si>
    <t>Nadační fond Kilometry naděje</t>
  </si>
  <si>
    <t>Nadační fond Listem 21</t>
  </si>
  <si>
    <t>Nadační fond Live Art! Liberec</t>
  </si>
  <si>
    <t>Nadační fond MA-MA Foundation</t>
  </si>
  <si>
    <t>NADAČNÍ FOND MDM SRDCEM ANDĚLA</t>
  </si>
  <si>
    <t>Nadační fond na podporu fotbalové mládeže Libereckého kraje</t>
  </si>
  <si>
    <t>Nadační fond Raroh</t>
  </si>
  <si>
    <t>Nadační fond spedice</t>
  </si>
  <si>
    <t>Namiř a nahraj, z.s.</t>
  </si>
  <si>
    <t>Národní asociace poskytovatelů psů se speciálním výcvikem z. s.</t>
  </si>
  <si>
    <t>Národní institut pro integraci osob s omezenou schopností pohybu a orientace České republliky, Krajská organizace Libereckého kraje, o.s.</t>
  </si>
  <si>
    <t>Náš hlas v likvidaci</t>
  </si>
  <si>
    <t>Náš kraj, z.s.</t>
  </si>
  <si>
    <t>Náš Vesec z.s.</t>
  </si>
  <si>
    <t>Naše Doubí o.s. - v likvidaci</t>
  </si>
  <si>
    <t>NAŠE PODJEŠTĚDÍ, o. s.</t>
  </si>
  <si>
    <t>Naše Ralsko, z.s.</t>
  </si>
  <si>
    <t>Naučte se bránit z.s.</t>
  </si>
  <si>
    <t>Návrat, o.p.s.</t>
  </si>
  <si>
    <t>NEJKULAŤOULINKATĚJŠÍ PÉTANQUE KLUB, z. s.</t>
  </si>
  <si>
    <t>německočeskéumění.cz, z. s.</t>
  </si>
  <si>
    <t>NESVAS - nezávislý svaz sáňkařů československých</t>
  </si>
  <si>
    <t>Nezávislá odborová organizace ČSAD Liberec</t>
  </si>
  <si>
    <t>Nezávislá odborová organizace Fehrer Bohemia, s.r.o. - závod 02, spolek</t>
  </si>
  <si>
    <t>Nezávislá odborová organizace Policie České republiky Liberec</t>
  </si>
  <si>
    <t>Nezávislá odborová organizace pracovníků Baumax ČR a.s.</t>
  </si>
  <si>
    <t>Nezávislý odborový svaz Police ČR, základní organizace Liberec</t>
  </si>
  <si>
    <t>Nezávislý odborový svaz Policie ČR, Základní organizace při Vazební věznici Liberec</t>
  </si>
  <si>
    <t>NISA - Plynofikace pohraničí</t>
  </si>
  <si>
    <t>NISAMARATHON, zapsaný spolek</t>
  </si>
  <si>
    <t>Nobiles Bohemia, z.s.</t>
  </si>
  <si>
    <t>NOLIS o.s.</t>
  </si>
  <si>
    <t>Non-Profit Pharmatest z.s.</t>
  </si>
  <si>
    <t>North Bohemia Monster Truck Team, o.s.</t>
  </si>
  <si>
    <t>NORTH CZECH TEAM o.s.</t>
  </si>
  <si>
    <t>NORTHERN STARS z.s.</t>
  </si>
  <si>
    <t>Nový Harcov, z.s.</t>
  </si>
  <si>
    <t>OB Jizerky z.s.</t>
  </si>
  <si>
    <t>Občanská stavební asociace</t>
  </si>
  <si>
    <t>Občanské sdružení Asociace filmových festivalů Liberec</t>
  </si>
  <si>
    <t>Občanské sdružení AVER</t>
  </si>
  <si>
    <t>"Občanské sdružení BEZ NEHOD"</t>
  </si>
  <si>
    <t>Občanské sdružení Březnická</t>
  </si>
  <si>
    <t>Občanské sdružení "Cikánů a jejich míšenců"</t>
  </si>
  <si>
    <t>Občanské sdružení D.R.A.K. z.s.</t>
  </si>
  <si>
    <t>„Občanské sdružení Ekologos”</t>
  </si>
  <si>
    <t>"občanské sdružení Heřmánková"</t>
  </si>
  <si>
    <t>Občanské sdružení Horní Hanychov</t>
  </si>
  <si>
    <t>Občanské sdružení HOUPAJDA</t>
  </si>
  <si>
    <t>Občanské sdružení Jonáš</t>
  </si>
  <si>
    <t>Občanské sdružení Kallistó</t>
  </si>
  <si>
    <t>Občanské sdružení KAMAVTUT</t>
  </si>
  <si>
    <t>„Občanské sdružení komorního souboru Regnis”</t>
  </si>
  <si>
    <t>Občanské sdružení LADA 206</t>
  </si>
  <si>
    <t>Občanské sdružení Lbfree.net</t>
  </si>
  <si>
    <t>Občanské sdružení "Majitelů bytů Liberec"</t>
  </si>
  <si>
    <t>občanské sdružení Makak - Liberecký Boulder Club</t>
  </si>
  <si>
    <t>Občanské sdružení MAKREDEM</t>
  </si>
  <si>
    <t>Občanské sdružení MODRÁ a BÍLÁ 89</t>
  </si>
  <si>
    <t>Občanské sdružení na ochranu přírody "Smeťák"</t>
  </si>
  <si>
    <t>Občanské sdružení Odraz</t>
  </si>
  <si>
    <t>Občanské sdružení Paprsek Liberec</t>
  </si>
  <si>
    <t>Občanské sdružení pro rozvoj myslivosti a ochr.přírody a zákonných..</t>
  </si>
  <si>
    <t>Občanské sdružení pro svobodné malování podle Arno Sterna Liberec</t>
  </si>
  <si>
    <t>Občanské sdružení Rattus</t>
  </si>
  <si>
    <t>Občanské sdružení SAKURA</t>
  </si>
  <si>
    <t>OBČANSKÉ SDRUŽENÍ SOCIETY</t>
  </si>
  <si>
    <t>Občanské sdružení spoluvlastníků domu čp. 339 Liberec</t>
  </si>
  <si>
    <t>Občanské sdružení spoluvlastníků domu č.p.343, Liberec, Frimlova</t>
  </si>
  <si>
    <t>OBČANSKÉ SDRUŽENÍ STARCLUB Liberec</t>
  </si>
  <si>
    <t>Občanské sdružení S.U.P.</t>
  </si>
  <si>
    <t>Občanské sdružení Vesec</t>
  </si>
  <si>
    <t>"Občanské sdružení Wintrova Liberec"</t>
  </si>
  <si>
    <t>Občanské sdružení ZELENÝ STROM</t>
  </si>
  <si>
    <t>OBČANSKÝ SPOLEK TÁBORNÍKŮ APOLENA</t>
  </si>
  <si>
    <t>Oblastní Řeckokatolická charita v Liberci</t>
  </si>
  <si>
    <t>Oblastní spolek Českého červeného kříže Liberec</t>
  </si>
  <si>
    <t>OBZOR Liberec, z.s.</t>
  </si>
  <si>
    <t>Odborová organizace Energetika Liberec</t>
  </si>
  <si>
    <t>Odborová Organizace Faerch Plast</t>
  </si>
  <si>
    <t>Odborová organizace mechaniky při Technické univerzitě v Liberci</t>
  </si>
  <si>
    <t>Odborová organizace opery Divadla F. X. Šaldy</t>
  </si>
  <si>
    <t>Odborová organizace Work Field Liberec</t>
  </si>
  <si>
    <t>Odborová organizace zaměstnanců Knorr-Bremse Services Europe</t>
  </si>
  <si>
    <t>Odborová organizace zaměstnanců obchodní společnosti AIRS Manufacturing Czech,s.r.o.</t>
  </si>
  <si>
    <t>Odborová základní organizace při Technické univerzitě v Liberci</t>
  </si>
  <si>
    <t>Odborový svaz KOVO základní organizace L.A.F.</t>
  </si>
  <si>
    <t>Odkaz Studia výtvarné fotografie, o.s.</t>
  </si>
  <si>
    <t>Odkazy</t>
  </si>
  <si>
    <t>Odpolední filmová škola Liberec o.s.</t>
  </si>
  <si>
    <t>OK expedition club z.s.</t>
  </si>
  <si>
    <t>OK Harcov</t>
  </si>
  <si>
    <t>OKINAWA KARATE A KOBUDO LIBEREC z.s.</t>
  </si>
  <si>
    <t>Okrašlovací spolek Hanychov</t>
  </si>
  <si>
    <t>Okrašlovací spolek Horní Řasnice - Srbská</t>
  </si>
  <si>
    <t>Okresní fotbalový svaz Liberec</t>
  </si>
  <si>
    <t>Okresní rada Asociace školních sportovních klubů České republiky Liberec, pobočný spolek</t>
  </si>
  <si>
    <t>Olbrachtova 602 a 603 LB</t>
  </si>
  <si>
    <t>Olds Liberec</t>
  </si>
  <si>
    <t>Opatrnost, z.s.</t>
  </si>
  <si>
    <t>Open Source Development Club, o.s.</t>
  </si>
  <si>
    <t>Orbis</t>
  </si>
  <si>
    <t>Ořech, z.s.</t>
  </si>
  <si>
    <t>o.s. Golf club Severák Janov nad Nisou</t>
  </si>
  <si>
    <t>O.S. LIPRO</t>
  </si>
  <si>
    <t>OS Stavba ČR,Ligranit Liberec- V LIKVIDACI</t>
  </si>
  <si>
    <t>o.s.Nutriční klub Hippokrates</t>
  </si>
  <si>
    <t>Osobní asistence - Pro život, obecně prospěšná společnost, v likvidaci</t>
  </si>
  <si>
    <t>"o.s.sportovní klub A.C.Tango"</t>
  </si>
  <si>
    <t>Otevřená zahrada z.s.</t>
  </si>
  <si>
    <t>Otevřené dveře - Open door 4 all</t>
  </si>
  <si>
    <t>Paintball klub Liberec</t>
  </si>
  <si>
    <t>Pampuch Liberec, z.s.</t>
  </si>
  <si>
    <t>"pancar o.s."</t>
  </si>
  <si>
    <t>Papatour, z.s.</t>
  </si>
  <si>
    <t>Paragliding klub Ještěd z.s.</t>
  </si>
  <si>
    <t>Paragliding klub Sever, z.s.</t>
  </si>
  <si>
    <t>Paraklub Liberec z.s.</t>
  </si>
  <si>
    <t>PARATEAM LIBEREC</t>
  </si>
  <si>
    <t>PASPORTÍK z.s.</t>
  </si>
  <si>
    <t>PASTVINY-BULOVKA, z.s.</t>
  </si>
  <si>
    <t>Patriots Liberec, z.s.</t>
  </si>
  <si>
    <t>PechaKucha Night Liberec z. s.</t>
  </si>
  <si>
    <t>PECKA</t>
  </si>
  <si>
    <t>Pedagogicko-psychologické centrum Liberec</t>
  </si>
  <si>
    <t>Pěvecký sbor Ještěd z.s.</t>
  </si>
  <si>
    <t>Pěvecký sbor ZNIČEHONIC, z.s.</t>
  </si>
  <si>
    <t>PGF institut, z.s.</t>
  </si>
  <si>
    <t>PIANOLA, z.s.</t>
  </si>
  <si>
    <t>Pilínkov k žití</t>
  </si>
  <si>
    <t>Pilínkov pro lidi z. s.</t>
  </si>
  <si>
    <t>PINK! Liberec, z.s.</t>
  </si>
  <si>
    <t>Pionýr, z. s. - Pionýrská skupina - KATAMARÁN</t>
  </si>
  <si>
    <t>Pionýr, z. s. - Pionýrská skupina Objevitelé</t>
  </si>
  <si>
    <t>Pionýr, z. s. - 1. pionýrská skupina</t>
  </si>
  <si>
    <t>PK Nisa Liberec, z.s.</t>
  </si>
  <si>
    <t>Play a part, z. s.</t>
  </si>
  <si>
    <t>Pleskoťáček z.s.</t>
  </si>
  <si>
    <t>Plochá dráha klub v AČR</t>
  </si>
  <si>
    <t>Po životě z. s.</t>
  </si>
  <si>
    <t>Pobočný spolek Českomoravský cyklokoordinátor - Liberec</t>
  </si>
  <si>
    <t>Poctivá řemesla, z. s.</t>
  </si>
  <si>
    <t>Podještědí, z. s.</t>
  </si>
  <si>
    <t>Podještědský canicross z.s.</t>
  </si>
  <si>
    <t>Podještědský soubor písní a tanců</t>
  </si>
  <si>
    <t>Podještědský střelecký klub, z.s.</t>
  </si>
  <si>
    <t>PODPORA TALENTŮ, o.s.</t>
  </si>
  <si>
    <t>Podzimní 362 a 363 LB</t>
  </si>
  <si>
    <t>POINTA, z.s.</t>
  </si>
  <si>
    <t>Poker Club "Last Chance" Liberec o.s.</t>
  </si>
  <si>
    <t>Poker Club Liberec o.s.</t>
  </si>
  <si>
    <t>politické hnutí Změna</t>
  </si>
  <si>
    <t>POLTAVA, vzájemně podpůrný spolek</t>
  </si>
  <si>
    <t>PONTIBUS z. s.</t>
  </si>
  <si>
    <t>Porsche Classic Club ČR z.s.</t>
  </si>
  <si>
    <t>Pošli to dál</t>
  </si>
  <si>
    <t>Potravinová banka Libereckého kraje, z. s.</t>
  </si>
  <si>
    <t>Prací k novému životu z. s.</t>
  </si>
  <si>
    <t>PRAD, odborové sdružení</t>
  </si>
  <si>
    <t>Pravý zastupitel</t>
  </si>
  <si>
    <t>Pražské koncertní trio</t>
  </si>
  <si>
    <t>Profi Net</t>
  </si>
  <si>
    <t>ProLiberec - nadační fond</t>
  </si>
  <si>
    <t>Prostor pro užité umění z.s.</t>
  </si>
  <si>
    <t>ProWel z.s.</t>
  </si>
  <si>
    <t>Průzkumníci Liberec, z. s.</t>
  </si>
  <si>
    <t>První Liberecké romské občanské sdružení naděje</t>
  </si>
  <si>
    <t>První liberecký spolek paní a dívek</t>
  </si>
  <si>
    <t>První nezávislé vegetariánské sdružení Liberec</t>
  </si>
  <si>
    <t>První volnočasový Ekopark Liberec, z.ú.</t>
  </si>
  <si>
    <t>Prykarpattja, z.s.</t>
  </si>
  <si>
    <t>"Přátelé Štěstěny"</t>
  </si>
  <si>
    <t>PŘÍLEŽITOST</t>
  </si>
  <si>
    <t>PSF v likvidaci</t>
  </si>
  <si>
    <t>PUSKLIMA</t>
  </si>
  <si>
    <t>"Rabbit Hole Production"</t>
  </si>
  <si>
    <t>Rabten Čhödarling</t>
  </si>
  <si>
    <t>RACING CLUB</t>
  </si>
  <si>
    <t>„Rada dětí a mládeže Libereckého kraje, o.s.”</t>
  </si>
  <si>
    <t>Rada rodičů a přátel školy při ZŠ Na Perštýně, Liberec</t>
  </si>
  <si>
    <t>Rada rodičů při základní škola Aloisina výšina 642/51, Liberec 15 v likvidaci</t>
  </si>
  <si>
    <t>Rada rodičů při ZŠ Liberec, Dobiášova 851/5 z.s.</t>
  </si>
  <si>
    <t>Rada rodičů školy SPŠ stavební, Liberec 1, z. s.</t>
  </si>
  <si>
    <t>Rada seniorů České republiky, Krajská rada seniorů Libereckého kraje, p.s.</t>
  </si>
  <si>
    <t>Radčická společnost</t>
  </si>
  <si>
    <t>Radčický obrodný spolek RADOST</t>
  </si>
  <si>
    <t>RADOSTNÝ SPOLEK, z.s.</t>
  </si>
  <si>
    <t>RAFT-CLUB Liberec</t>
  </si>
  <si>
    <t>Rallye klub Liberec</t>
  </si>
  <si>
    <t>Ramus Chemicus z.s.</t>
  </si>
  <si>
    <t>RAPAX</t>
  </si>
  <si>
    <t>RATAB, z.s.</t>
  </si>
  <si>
    <t>„RC modelklub Liberec“, o.s.</t>
  </si>
  <si>
    <t>Red Umbrella z.s.</t>
  </si>
  <si>
    <t>REDDO, o.s.</t>
  </si>
  <si>
    <t>Regionální cech Společenstva kominíků ČR Libereckého kraje</t>
  </si>
  <si>
    <t>REGIONÁLNÍ CENTRUM PODPORY STRUTURÁLNÍCH FONDŮ EU 2013 o.s.</t>
  </si>
  <si>
    <t>Regionální centrum Rakovník</t>
  </si>
  <si>
    <t>Regionální dobrovolnické centrum JEŠTĚD, o.s.</t>
  </si>
  <si>
    <t>Regionální Fórum, z. s.</t>
  </si>
  <si>
    <t>Regionální informační agentura</t>
  </si>
  <si>
    <t>REGIONÁLNÍ KLUB CB LIBEREC</t>
  </si>
  <si>
    <t>Regionální klub Liberecka o.s.</t>
  </si>
  <si>
    <t>Regionální organizace zdravotně postižených Sever Liberec z.s.</t>
  </si>
  <si>
    <t>Regionální pobočka Benešov</t>
  </si>
  <si>
    <t>Regionální pobočka Beroun</t>
  </si>
  <si>
    <t>Regionální pobočka Česká Lípa</t>
  </si>
  <si>
    <t>Regionální pobočka hlavní město Praha</t>
  </si>
  <si>
    <t>Regionální pobočka Jablonec nad Nisou</t>
  </si>
  <si>
    <t>Regionální pobočka Jičín</t>
  </si>
  <si>
    <t>Regionální pobočka Kladno</t>
  </si>
  <si>
    <t>Regionální pobočka Kolín</t>
  </si>
  <si>
    <t>Regionální pobočka Kutná Hora</t>
  </si>
  <si>
    <t>Regionální pobočka Liberec</t>
  </si>
  <si>
    <t>Regionální pobočka Mělník</t>
  </si>
  <si>
    <t>Regionální pobočka Mladá Boleslav</t>
  </si>
  <si>
    <t>Regionální pobočka Nymburk</t>
  </si>
  <si>
    <t>Regionální pobočka Příbram</t>
  </si>
  <si>
    <t>Regionální pobočka Semily</t>
  </si>
  <si>
    <t>Regionální spolek seniorů NISA</t>
  </si>
  <si>
    <t>Reichenberg z.s.</t>
  </si>
  <si>
    <t>RELAX CLUB o.s.</t>
  </si>
  <si>
    <t>Reportéři bez hranic, z.s.</t>
  </si>
  <si>
    <t>REPROVIA o.p.s.</t>
  </si>
  <si>
    <t>Respektuji, z.s.</t>
  </si>
  <si>
    <t>Retail Club z. s.</t>
  </si>
  <si>
    <t>REVA o.p.s.</t>
  </si>
  <si>
    <t>Revue Sever, z.s.</t>
  </si>
  <si>
    <t>RH - FAKTOR</t>
  </si>
  <si>
    <t>RIEDERS-MOTOKLUB Liberec</t>
  </si>
  <si>
    <t>Rodiče za klima Liberec z. s.</t>
  </si>
  <si>
    <t>RODINNÉ CENTRUM KNOFLÍK - RŮŽODOL, z.s.</t>
  </si>
  <si>
    <t>Rodinný nadační fond JMK</t>
  </si>
  <si>
    <t>Rolnička-divadlo a divadelní dílny</t>
  </si>
  <si>
    <t>ROSEX - volné liberecké vokální sdružení, z.s.</t>
  </si>
  <si>
    <t>Rotary Club Liberec - Jablonec, z. s.</t>
  </si>
  <si>
    <t>"Rozhledna Pekelský vrch"</t>
  </si>
  <si>
    <t>ROZVOJ - DEVELOPMENT</t>
  </si>
  <si>
    <t>Rozvoj regionu Liberecko, z.s.</t>
  </si>
  <si>
    <t>RP - Music Club Liberec z.s.</t>
  </si>
  <si>
    <t>Rugby Club Liberec, z.s.</t>
  </si>
  <si>
    <t>Rumcajsovo hnutí</t>
  </si>
  <si>
    <t>Rumjancevova 1241, 1242, 1243 LB</t>
  </si>
  <si>
    <t>Rumjancevova 1254 a 1255 LB</t>
  </si>
  <si>
    <t>RunBo Team z.s.</t>
  </si>
  <si>
    <t>Rupertus z.s.</t>
  </si>
  <si>
    <t>Ruprechtice</t>
  </si>
  <si>
    <t>Ruprechtice dětem</t>
  </si>
  <si>
    <t>Ruprechtická 318 a 319 LB</t>
  </si>
  <si>
    <t>Ruprechtická 320 a 321 LB</t>
  </si>
  <si>
    <t>Ruprechtická 389/5 LB</t>
  </si>
  <si>
    <t>Ruprechtický farní spolek</t>
  </si>
  <si>
    <t>RUŠIČKA, z.s.</t>
  </si>
  <si>
    <t>Růžodolský spolek</t>
  </si>
  <si>
    <t>Růžová, o.p.s.</t>
  </si>
  <si>
    <t>RVF Aktivity z.s.</t>
  </si>
  <si>
    <t>Rybářský spolek Chrastavská Záclonárka, z.s.</t>
  </si>
  <si>
    <t>Rytířský řád Svatého Václava</t>
  </si>
  <si>
    <t>Rytmus Liberec, o.p.s.</t>
  </si>
  <si>
    <t>Řechtající králíček z.s.</t>
  </si>
  <si>
    <t>Řeckokatolická farnost v Liberci</t>
  </si>
  <si>
    <t>Římskokatolická farnost - arciděkanství Liberec</t>
  </si>
  <si>
    <t>Římskokatolická farnost - děkanství Liberec - Rochlice</t>
  </si>
  <si>
    <t>Římskokatolická farnost Liberec - Ruprechtice</t>
  </si>
  <si>
    <t>Římskokatolická farnost Stráž nad Nisou</t>
  </si>
  <si>
    <t>Safety Technology Club o.s.</t>
  </si>
  <si>
    <t>Sakura Liberec, z.s.</t>
  </si>
  <si>
    <t>SALUS o.s.</t>
  </si>
  <si>
    <t>Sambo club Liberec, z.s.</t>
  </si>
  <si>
    <t>Sankt Gotthard, z.s.</t>
  </si>
  <si>
    <t>Sarka Farka Boys</t>
  </si>
  <si>
    <t>S-ART o.s.</t>
  </si>
  <si>
    <t>SATEL LIBEREC z.s.</t>
  </si>
  <si>
    <t>SAUNA-KLUB Liberec</t>
  </si>
  <si>
    <t>Sbor Bratrské jednoty baptistů v Liberci</t>
  </si>
  <si>
    <t>Sbor Církve adventistů sedmého dne Liberec</t>
  </si>
  <si>
    <t>Sbor Církve bratrské v Liberci</t>
  </si>
  <si>
    <t>SC Hanychov</t>
  </si>
  <si>
    <t>SC Hokejbal Liberec</t>
  </si>
  <si>
    <t>SC JANSPORT z.s.</t>
  </si>
  <si>
    <t>SC KARATE LANC LIBEREC</t>
  </si>
  <si>
    <t>SC SPORTCOM o.s.</t>
  </si>
  <si>
    <t>SCA Czech Republic z.s.</t>
  </si>
  <si>
    <t>Scholaris</t>
  </si>
  <si>
    <t>School for Pakistan o.s.</t>
  </si>
  <si>
    <t>SCHOOL HANDICAP HELP</t>
  </si>
  <si>
    <t>SCITUS, z.s.</t>
  </si>
  <si>
    <t>SCUBADIVING.CZ - Potápěčský klub o.s.</t>
  </si>
  <si>
    <t>Sdružení A Club Bohemia</t>
  </si>
  <si>
    <t>”Sdružení AegisNatura“</t>
  </si>
  <si>
    <t>Sdružení chovatelů pštrosů</t>
  </si>
  <si>
    <t>„SDRUŽENÍ ČESKÝ ČESNEK”</t>
  </si>
  <si>
    <t>Sdružení Horova 933, z.s.</t>
  </si>
  <si>
    <t>Sdružení individuálních držitelů akcií a.s. LESNA Liberec</t>
  </si>
  <si>
    <t>Sdružení kominíků okresu Liberec</t>
  </si>
  <si>
    <t>Sdružení krále komiků Česká republika</t>
  </si>
  <si>
    <t>SDRUŽENÍ NA PODPORU LIBERECKÉHO KRAJE, v likvidaci</t>
  </si>
  <si>
    <t>Sdružení na podporu malého a středního podnikání v Liberci</t>
  </si>
  <si>
    <t>Sdružení Natura Albrechtice u Frýdlantu</t>
  </si>
  <si>
    <t>Sdružení občanů Durychova</t>
  </si>
  <si>
    <t>Sdružení občanů Králův Háj-Starý Harcov</t>
  </si>
  <si>
    <t>Sdružení občanů při gericentru ASTRA</t>
  </si>
  <si>
    <t>Sdružení občanů Rybníček</t>
  </si>
  <si>
    <t>Sdružení občanů za samostatnost nové obce Machnín</t>
  </si>
  <si>
    <t>Sdružení ochránců podještědské přírody</t>
  </si>
  <si>
    <t>Sdružení poškozených podílníků C.S.Fondů</t>
  </si>
  <si>
    <t>Sdružení pro celoživotní vzdělávání "Tyto alba"</t>
  </si>
  <si>
    <t>Sdružení pro obnovitelnou energii</t>
  </si>
  <si>
    <t>Sdružení pro obnovu vnitrobloku Jungmannova, Metelkova, Okružní</t>
  </si>
  <si>
    <t>SDRUŽENÍ PRO PODPORU A ROZVOJ SPORTU</t>
  </si>
  <si>
    <t>Sdružení pro pomoc sluchově postiženým Liberec</t>
  </si>
  <si>
    <t>Sdružení pro rozvoj cestovního ruchu v Libereckém kraji</t>
  </si>
  <si>
    <t>Sdružení pro veletrhy dětské knihy v Liberci, spolek</t>
  </si>
  <si>
    <t>Ostatní profesní, vědecké a technické činnosti</t>
  </si>
  <si>
    <t>Sdružení profesionálních loutkářů</t>
  </si>
  <si>
    <t>Sdružení přátel pohybu Liberec v likvidaci</t>
  </si>
  <si>
    <t>Sdružení přátel SPL Liberec</t>
  </si>
  <si>
    <t>Sdružení přátel Střední školy strojní, stavební a dopravní Liberec, z. s.</t>
  </si>
  <si>
    <t>Sdružení přátel základní školy DOCTRINA  o.p.s. v likvidaci</t>
  </si>
  <si>
    <t>Sdružení rodičů a přátel dětí a školy při 34. MŠ, v likvidaci</t>
  </si>
  <si>
    <t>Sdružení rodičů a přátel dětí ZŠ Liberec, Broumovská</t>
  </si>
  <si>
    <t>Sdružení rodičů a přátel při 11. ZŠ Liberec, Růžodolská 26</t>
  </si>
  <si>
    <t>Sdružení rodičů a přátel školy Na Výběžku, z.s.</t>
  </si>
  <si>
    <t>Sdružení rodičů a přátel školy při Základní škole U Soudu v Liberci, z.s.</t>
  </si>
  <si>
    <t>Sdružení rodičů a přátel školy při ZDŠ, Liberec, Na Výběžku 118</t>
  </si>
  <si>
    <t>Sdružení rodičů a přátel školy Žitavská, z.s.</t>
  </si>
  <si>
    <t>Sdružení rodičů a přátel školy 3.MŠ Vzdušná ul., Liberec v likvidaci</t>
  </si>
  <si>
    <t>Sdružení rodičů a přátel waldorfských škol v Liberci</t>
  </si>
  <si>
    <t>Sdružení rodičů, studentů a přátel školy při Gymnáziu F. X. Šaldy v Liberci, z.s.</t>
  </si>
  <si>
    <t>Sdružení rodičů, studentů a přátel školy při Střední průmyslové škole textilní v Liberci, Tyršova 1, občanského sdružení</t>
  </si>
  <si>
    <t>Sdružení rodičů žáků sportovních tříd při ZŠ Dobiášova</t>
  </si>
  <si>
    <t>Sdružení sluchově postižených Libereckého kraje</t>
  </si>
  <si>
    <t>Sdružení smluvních lékařů ČR</t>
  </si>
  <si>
    <t>Sdružení spoluvlastníků budovy Husova 837,838 v Liberci</t>
  </si>
  <si>
    <t>Sdružení Sport Centrum Pavlovice, z.s.</t>
  </si>
  <si>
    <t>Sdružení Svatoplukova</t>
  </si>
  <si>
    <t>Sdružení svobodných šermířů, o.s.</t>
  </si>
  <si>
    <t>Sdružení TULIPAN, z.s.</t>
  </si>
  <si>
    <t>Sdružení uživatelů nosičů</t>
  </si>
  <si>
    <t>sdružení vlastníků bytů - dům č. 391/6</t>
  </si>
  <si>
    <t>Sdružení vlastníků bytů Purkyňova 587-589 v Liberci, zapsaný spolek v Likvidaci</t>
  </si>
  <si>
    <t>Sdružení vlastníků domu čp.316 a 317</t>
  </si>
  <si>
    <t>Sdružení vlastníků nemovitostí přilehlých k pozemku č. parc. 583/1, k.ú. a obec Liberec</t>
  </si>
  <si>
    <t>Sdružení za volnočasový prostor Hanychov Tálínská z.s.</t>
  </si>
  <si>
    <t>Sdružení zákonných zástupců a přátel SZŠ a VOŠz Liberec, z. s.</t>
  </si>
  <si>
    <t>Seakayak Liberec, z.s.</t>
  </si>
  <si>
    <t>Sehraní, z. s.</t>
  </si>
  <si>
    <t>Sekce sdružení duševních sportů - Jazzový Cub Liberec</t>
  </si>
  <si>
    <t>Self-Defense Group</t>
  </si>
  <si>
    <t>SENIORSERVIS o.p.s.</t>
  </si>
  <si>
    <t>Ambulantní nebo terénní sociální služby pro seniory</t>
  </si>
  <si>
    <t>SeniorVitae o.s.</t>
  </si>
  <si>
    <t>Senioři České republiky, z. s., Krajská organizace Libereckého kraje</t>
  </si>
  <si>
    <t>Senioři České republiky, z. s., Základní organizace Liberec 2</t>
  </si>
  <si>
    <t>Servisní centrum sportu ČUS Liberec</t>
  </si>
  <si>
    <t>Setkávací a informační centrum Liberec</t>
  </si>
  <si>
    <t>Severočeské stavební sdružení</t>
  </si>
  <si>
    <t>SH ČMS -  Sbor dobrovolných hasičů Machnín</t>
  </si>
  <si>
    <t>SH ČMS - Krajské sdružení hasičů Libereckého kraje</t>
  </si>
  <si>
    <t>SH ČMS - Okresní sdružení hasičů Liberec</t>
  </si>
  <si>
    <t>SH ČMS - Okrsek Liberec</t>
  </si>
  <si>
    <t>SH ČMS - Sbor dobrovolných hasičů Horní Hanychov</t>
  </si>
  <si>
    <t>SH ČMS - Sbor dobrovolných hasičů Karlinky</t>
  </si>
  <si>
    <t>SH ČMS - Sbor dobrovolných hasičů Krásná Studánka</t>
  </si>
  <si>
    <t>SH ČMS - Sbor dobrovolných hasičů Liberec - Sever</t>
  </si>
  <si>
    <t>SH ČMS - Sbor dobrovolných hasičů LITES</t>
  </si>
  <si>
    <t>SH ČMS - Sbor dobrovolných hasičů Pilínkov</t>
  </si>
  <si>
    <t>SH ČMS - Sbor dobrovolných hasičů Růžodol</t>
  </si>
  <si>
    <t>SH ČMS - Sbor dobrovolných hasičů Vesec</t>
  </si>
  <si>
    <t>SHIDOKAN INTERNATIONAL CZECH REPUBLIC z.s.</t>
  </si>
  <si>
    <t>Shunh? kai  z.s.</t>
  </si>
  <si>
    <t>Silva Sacra, z. s.</t>
  </si>
  <si>
    <t>SILVINI MADSHUS team, z.s.</t>
  </si>
  <si>
    <t>Simpliblue, z. s.</t>
  </si>
  <si>
    <t>SK - MERVÁL</t>
  </si>
  <si>
    <t>SK ALFA Liberec z.s.</t>
  </si>
  <si>
    <t>SK Handisport Liberec z.s.</t>
  </si>
  <si>
    <t>SK JASOŇ z.s.</t>
  </si>
  <si>
    <t>SK Ještědská Liberec z.s.</t>
  </si>
  <si>
    <t>SK KARATE - SHOTOKAN LIBEREC, z.s.</t>
  </si>
  <si>
    <t>SK Karlinky Lbc</t>
  </si>
  <si>
    <t>SK LIBEREC HANDBALL, z.s.</t>
  </si>
  <si>
    <t>SK MAXTRI Liberec</t>
  </si>
  <si>
    <t>SK OSTAŠOV z. s.</t>
  </si>
  <si>
    <t>SK POL Liberec</t>
  </si>
  <si>
    <t>SK PROCTUS, z.s.</t>
  </si>
  <si>
    <t>SK PULSKLIMA z.s.</t>
  </si>
  <si>
    <t>SK RAPID PAVLOVICE, spolek</t>
  </si>
  <si>
    <t>SK REBELS Liberec</t>
  </si>
  <si>
    <t>SK SKI LIBEREC z.s.</t>
  </si>
  <si>
    <t>SK Šmidliboys Chotyně z.s.</t>
  </si>
  <si>
    <t>SK TAI - CHI Liberec</t>
  </si>
  <si>
    <t>SK Tučňák, spolek</t>
  </si>
  <si>
    <t>SK Vodních sportů Liberec</t>
  </si>
  <si>
    <t>SK VTJ RAPID Liberec z.s.</t>
  </si>
  <si>
    <t>SK X-TEAM o.s.</t>
  </si>
  <si>
    <t>ski &amp; surf team CZE, z.s.</t>
  </si>
  <si>
    <t>Ski Academy Lucie Hrstková, o.s.</t>
  </si>
  <si>
    <t>SKI Akademie Běh na lyžích, z.s.</t>
  </si>
  <si>
    <t>Ski klub Ještěd, z. s.</t>
  </si>
  <si>
    <t>SKI KLUB JIZERSKÁ PADESÁTKA z.s.</t>
  </si>
  <si>
    <t>SKI KLUB LAVINA o.s.</t>
  </si>
  <si>
    <t>SKI KLUB LIBEREC o.s.</t>
  </si>
  <si>
    <t>Ski klub Vesec Tajch, z.s.</t>
  </si>
  <si>
    <t>SKI LIBEREC o.s.</t>
  </si>
  <si>
    <t>Skiakademie.cz</t>
  </si>
  <si>
    <t>SKIPPIES LIBEREC z. s.</t>
  </si>
  <si>
    <t>SKK Liberec z.s.</t>
  </si>
  <si>
    <t>SKS TART Liberec, z.s.</t>
  </si>
  <si>
    <t>SK8 LIBEREC, o. s.</t>
  </si>
  <si>
    <t>Slavia Liberec orienteering, z.s.</t>
  </si>
  <si>
    <t>Slovanská Unie Bojových Umění, z.s.</t>
  </si>
  <si>
    <t>"Slunečná Louka, Liberec, o. s."</t>
  </si>
  <si>
    <t>Sluneční lázně z.s.</t>
  </si>
  <si>
    <t>Smartdance, z.s.</t>
  </si>
  <si>
    <t>SNB Seveřani, z.s.</t>
  </si>
  <si>
    <t>SNOW SPORTS Racing z.s.</t>
  </si>
  <si>
    <t>Socatots a Brazilian Soccer Schools Liberecko z. s.</t>
  </si>
  <si>
    <t>Sociální bydlení u Kolory z.ú.</t>
  </si>
  <si>
    <t>Societas Amicuum Liberec (SAL), z.s.</t>
  </si>
  <si>
    <t>Sokolská župa Ještědská</t>
  </si>
  <si>
    <t>"Sokolské Jednoty Liberec"</t>
  </si>
  <si>
    <t>SOLAND z.s.</t>
  </si>
  <si>
    <t>Solapomaha, z. s.</t>
  </si>
  <si>
    <t>Solární o. s.</t>
  </si>
  <si>
    <t>Soukromý Fotbalový a Herní Klub, spolek "ARCHA"</t>
  </si>
  <si>
    <t>SPDO ZUŠ LIBEREC, z.s.</t>
  </si>
  <si>
    <t>SpinFit Liberec, z.s.</t>
  </si>
  <si>
    <t>SPL Liberec - Spolek přátel letectví modelářský klub p.s.</t>
  </si>
  <si>
    <t>SPOJÁČEK</t>
  </si>
  <si>
    <t>Společenství rodičů a přátel MŠ "Srdíčko", Liberec, z.s.</t>
  </si>
  <si>
    <t>Společnost česko-německého porozumění Ještěd Liberec</t>
  </si>
  <si>
    <t>Společnost česko-ruského přátelství, z.s.</t>
  </si>
  <si>
    <t>Společnost českých nevoličů</t>
  </si>
  <si>
    <t>Společnost Dolmen, z.ú.</t>
  </si>
  <si>
    <t>Společnost FIFTY+ z. s.</t>
  </si>
  <si>
    <t>Společnost horských sportovců Rochlice z.s.</t>
  </si>
  <si>
    <t>Společnost KORDULA z. s.</t>
  </si>
  <si>
    <t>Společnost Maharishiho védské university</t>
  </si>
  <si>
    <t>SPOLEČNOST PRO HUDEBNÍ VÝCHOVU ČESKÉ REPUBLIKY, z.s.</t>
  </si>
  <si>
    <t>Společnost pro Jizerské hory, o.p.s.</t>
  </si>
  <si>
    <t>Společnost pro podporu lidí s mentálním postižením v České republice, o.s.</t>
  </si>
  <si>
    <t>Společnost pro pořádání hudebních festivalů</t>
  </si>
  <si>
    <t>Společnost pro rozvoj urologie, z.s.</t>
  </si>
  <si>
    <t>Společnost pro uměleckou tvorbu</t>
  </si>
  <si>
    <t>Společnost vlastníků garáží Kunratická II Liberec, zapsaný spolek</t>
  </si>
  <si>
    <t>Pronájem vlastních nebo pronajatých nemovitostí s nebytovými prostory</t>
  </si>
  <si>
    <t>Společnost Vlasty Buriana o.p.s.</t>
  </si>
  <si>
    <t>Společnost za přežití všech vlád</t>
  </si>
  <si>
    <t>SPOLEK AKTIVNÍCH SPORTOVCŮ</t>
  </si>
  <si>
    <t>Spolek Alternativa 3000 o.s.</t>
  </si>
  <si>
    <t>Spolek Artistmusic</t>
  </si>
  <si>
    <t>Spolek Bucharka, z.s.</t>
  </si>
  <si>
    <t>Spolek "Cena Jirky Bělského"</t>
  </si>
  <si>
    <t>SPOLEK CNC HOKEJ</t>
  </si>
  <si>
    <t>Spolek Dětská</t>
  </si>
  <si>
    <t>Spolek economursi</t>
  </si>
  <si>
    <t>Spolek ecredula</t>
  </si>
  <si>
    <t>Spolek Envi Recycling o.s.</t>
  </si>
  <si>
    <t>Spolek HOP! Hnutí za obnovu pořádku, z.s.</t>
  </si>
  <si>
    <t>Spolek informatinum</t>
  </si>
  <si>
    <t>Spolek INTEGRA</t>
  </si>
  <si>
    <t>Spolek Jicarilla</t>
  </si>
  <si>
    <t>SPOLEK JIZERSKÁ</t>
  </si>
  <si>
    <t>Spolek kamarádů</t>
  </si>
  <si>
    <t>Spolek lyžníků</t>
  </si>
  <si>
    <t>Spolek Montessori Liberec</t>
  </si>
  <si>
    <t>Spolek Na Ladech</t>
  </si>
  <si>
    <t>Spolek na ochranu památkově chráněné vily Vrbova 735/3, Liberec, z.s.</t>
  </si>
  <si>
    <t>Spolek na ochranu přírody a krajiny za Kauflandem z.s.</t>
  </si>
  <si>
    <t>spolek Naděje 2011</t>
  </si>
  <si>
    <t>SPOLEK NÁVRAT STROMŮ v likvidaci</t>
  </si>
  <si>
    <t>Spolek Němců v severních Čechách</t>
  </si>
  <si>
    <t>Spolek Patientia Nostra</t>
  </si>
  <si>
    <t>Spolek Pouliční Basketbal</t>
  </si>
  <si>
    <t>Spolek pro obnovu kostela Máří Magdalény v Liberci, o.s.</t>
  </si>
  <si>
    <t>Spolek pro ochranu železnic - třistaosmička, z.s.</t>
  </si>
  <si>
    <t>Spolek pro podporu Podještědského gymnázia</t>
  </si>
  <si>
    <t>Spolek pro pořádání soutěže Oděv a textil, Liberec</t>
  </si>
  <si>
    <t>Spolek pro rozvoj lidských zdrojů Liberec</t>
  </si>
  <si>
    <t>Spolek pro tradici textilního designu Liberec</t>
  </si>
  <si>
    <t>„Spolek pro vlastivědnou práci v Liberci a okolí”</t>
  </si>
  <si>
    <t>Spolek pro zvelebení Starého Harcova</t>
  </si>
  <si>
    <t>Spolek PROSTOR 228</t>
  </si>
  <si>
    <t>Spolek přátel JERGYM, z. s.</t>
  </si>
  <si>
    <t>Spolek přátel Lužice - Liberec, z. s.</t>
  </si>
  <si>
    <t>Spolek přátel manuální medicíny, z. s.</t>
  </si>
  <si>
    <t>Spolek přátel Ostašova</t>
  </si>
  <si>
    <t>Spolek přátel ruprechtické školy</t>
  </si>
  <si>
    <t>Spolek přátel Státní vědecké knihovny v Liberci</t>
  </si>
  <si>
    <t>SPOLEK PŘI ORCHESTRU VLADIMÍRA JANSKÉHO LIBEREC</t>
  </si>
  <si>
    <t>Spolek Radčice XXXII</t>
  </si>
  <si>
    <t>Spolek RAK</t>
  </si>
  <si>
    <t>Spolek rodičů a přátel dětí při ZŠ a ZUŠ, Jabloňová, Liberec, z.s.</t>
  </si>
  <si>
    <t>Spolek rodičů a přátel dětí školy při Základní škole a Mateřské škole pro tělesně postižené, Liberec, Lužická 920/7, z. s.</t>
  </si>
  <si>
    <t>Spolek rodičů a přátel dětí školy při ZŠ a MŠ Barvířská Liberec</t>
  </si>
  <si>
    <t>Spolek rodičů a přátel dětí školy při ZŠ Broumovská Liberec</t>
  </si>
  <si>
    <t>Spolek rodičů a přátel dětí školy při ZŠ Liberec, Lesní, z.s.</t>
  </si>
  <si>
    <t>Spolek rodičů a přátel dětí školy při ZŠ Liberec, Švermova, z.s.</t>
  </si>
  <si>
    <t>Spolek rodičů a přátel při ZŠ 5. května v Liberci, z.s.</t>
  </si>
  <si>
    <t>Spolek rodičů a přátel školy Mateřídouška</t>
  </si>
  <si>
    <t>Spolek rodičů a přátel školy při MŠ Hvězdička v Liberci</t>
  </si>
  <si>
    <t>Spolek rodičů a přátel školy při Střední škole gastronomie a služeb Liberec</t>
  </si>
  <si>
    <t>Spolek rodičů a přátel školy při ZŠ a MŠ Ostašov z. s.</t>
  </si>
  <si>
    <t>Spolek rodičů a přátel školy při ZŠ Husova z.s.</t>
  </si>
  <si>
    <t>Spolek rodičů a přátel školy při ZŠ Ještědská z.s.</t>
  </si>
  <si>
    <t>Spolek rodičů a přátel školy ZŠ Liberec, Sokolovská 328, příspěvková organizace v likvidaci</t>
  </si>
  <si>
    <t>Spolek rodičů a přátel školy ZŠ Vrchlického Liberec z.s.</t>
  </si>
  <si>
    <t>Spolek rodičů a přátel ZŠ Montessori Liberec</t>
  </si>
  <si>
    <t>Spolek rodičů MŠ U Bertíka, z.s.</t>
  </si>
  <si>
    <t>SPOLEK RODIČŮ NA VÝŠINÁCH</t>
  </si>
  <si>
    <t>Spolek rodičů při Obchodní akademii v Liberci, z.s.</t>
  </si>
  <si>
    <t>Spolek rodičů při ZŠ Aloisina výšina Liberec</t>
  </si>
  <si>
    <t>Spolek rodičů SLUNÍČKO při MŠ Sluníčko Liberec</t>
  </si>
  <si>
    <t>Spolek Rudolfov - Jizerské hory</t>
  </si>
  <si>
    <t>Spolek ruku v ruce Liberec</t>
  </si>
  <si>
    <t>Spolek ruprechtických sousedů</t>
  </si>
  <si>
    <t>Spolek SOMACH</t>
  </si>
  <si>
    <t>Spolek soudních znalců České republiky</t>
  </si>
  <si>
    <t>Spolek Staré Město Liberec</t>
  </si>
  <si>
    <t>Spolek transparentní dopravy</t>
  </si>
  <si>
    <t>SPOLEK ÚČETNÍCH LIBEREC, spolek</t>
  </si>
  <si>
    <t>Spolek UHO</t>
  </si>
  <si>
    <t>Spolek válečných veteránů československého samostatného protichemického praporu</t>
  </si>
  <si>
    <t>Spolek vlastníků garáží Ostravská, Liberec</t>
  </si>
  <si>
    <t>Spolek vojenských vysloužilců MUDr. Václava Šamánka v Liberci</t>
  </si>
  <si>
    <t>Spolek Work Personal Agency v likvidaci</t>
  </si>
  <si>
    <t>Spolek Y.S.R.</t>
  </si>
  <si>
    <t>Spolek za estetiku veřejného prostoru</t>
  </si>
  <si>
    <t>SPOLEK ZA NÁDRAŽÍM - LIBEREC</t>
  </si>
  <si>
    <t>Spolek za zdravou Dívčajdu</t>
  </si>
  <si>
    <t>Spolek zahrádkářů Jeřáb</t>
  </si>
  <si>
    <t>Spolek zákonných zástupců, Střední škola a Mateřská škola, Liberec, Na Bojišti 15</t>
  </si>
  <si>
    <t>Spolek žáků, rodičů a přátel školy při SOŠ Liberec, Jablonecká 999, příspěvková organizace</t>
  </si>
  <si>
    <t>Spolkový servis Liberec, z.s.</t>
  </si>
  <si>
    <t>Sport a zdravý životní styl o.s.</t>
  </si>
  <si>
    <t>Sport Aerobic Liberec A z.s.</t>
  </si>
  <si>
    <t>Sport Aerobic Liberec, z.s.</t>
  </si>
  <si>
    <t>SPORT CLUB HAVAX, z.s.</t>
  </si>
  <si>
    <t>SPORT CLUB NISA LIBEREC</t>
  </si>
  <si>
    <t>Sport Club Tigers, z.s.</t>
  </si>
  <si>
    <t>Sport for Health, z.s.</t>
  </si>
  <si>
    <t>Sport Future Group, z. s.</t>
  </si>
  <si>
    <t>SPORT KLUB KING</t>
  </si>
  <si>
    <t>Sport Union CZAKA</t>
  </si>
  <si>
    <t>Sportemprotiválce z. s.</t>
  </si>
  <si>
    <t>SPORTFILM LIBEREC z. s.</t>
  </si>
  <si>
    <t>Sportimáček z. s.</t>
  </si>
  <si>
    <t>Sportovně střelecký klub Liberec z.s.</t>
  </si>
  <si>
    <t>Sportovní a atletický klub Nisa, z.s.</t>
  </si>
  <si>
    <t>Sportovní a taneční klub Laser Liberec</t>
  </si>
  <si>
    <t>Sportovní agentura Sportkids, z. s.</t>
  </si>
  <si>
    <t>Sportovní centrum mladých Draci 99</t>
  </si>
  <si>
    <t>Sportovní Gymnastika Liberec z.s.</t>
  </si>
  <si>
    <t>"Sportovní IMMO, z.s."</t>
  </si>
  <si>
    <t>Sportovní klub Alfa</t>
  </si>
  <si>
    <t>Sportovní klub ATT, z.s.</t>
  </si>
  <si>
    <t>Sportovní klub BALONEK, o.s.</t>
  </si>
  <si>
    <t>Sportovní klub bobistů a skeletonistů Liberec</t>
  </si>
  <si>
    <t>Sportovní klub DRTEK,z.s.</t>
  </si>
  <si>
    <t>Sportovní klub FLORBALOVÝ - DRACI Liberec</t>
  </si>
  <si>
    <t>Sportovní klub FOX</t>
  </si>
  <si>
    <t>Sportovní klub Jedlička Liberec</t>
  </si>
  <si>
    <t>Sportovní klub JEŠTĚD</t>
  </si>
  <si>
    <t>Sportovní klub Jizerští draci</t>
  </si>
  <si>
    <t>Sportovní klub "KAP"</t>
  </si>
  <si>
    <t>Sportovní klub Klip, z.s.</t>
  </si>
  <si>
    <t>Sportovní klub Klub 2000 Liberec</t>
  </si>
  <si>
    <t>Sportovní klub KOPPA</t>
  </si>
  <si>
    <t>Sportovní klub KRTEK</t>
  </si>
  <si>
    <t>Sportovní klub Machnín o.s.</t>
  </si>
  <si>
    <t>sportovní klub MTBO Bludný kořen</t>
  </si>
  <si>
    <t>Sportovní klub neslyšících Liberec</t>
  </si>
  <si>
    <t>Sportovní klub OASA Liberec</t>
  </si>
  <si>
    <t>SPORTOVNÍ KLUB OLYMP</t>
  </si>
  <si>
    <t>Sportovní klub OSF, o. s.</t>
  </si>
  <si>
    <t>Sportovní klub policie Liberec</t>
  </si>
  <si>
    <t>Sportovní klub policie Libereckého kraje, z. s.</t>
  </si>
  <si>
    <t>Sportovní klub Poseidon Liberec, z.s.</t>
  </si>
  <si>
    <t>Sportovní klub RELAX, z.s.</t>
  </si>
  <si>
    <t>Sportovní klub Roma Liberec</t>
  </si>
  <si>
    <t>Sportovní klub RS SPORT</t>
  </si>
  <si>
    <t>Sportovní klub "SC GEOS LIBEREC"</t>
  </si>
  <si>
    <t>Sportovní klub SC Tajfun z.s.</t>
  </si>
  <si>
    <t>Sportovní klub S.K.O.K.</t>
  </si>
  <si>
    <t>Sportovní klub stolního tenisu Liberec, z.s.</t>
  </si>
  <si>
    <t>Sportovní klub STONOŽKA, z.s.</t>
  </si>
  <si>
    <t>Sportovní klub TOMCAT</t>
  </si>
  <si>
    <t>Sportovní oddíl Goodway z.s.</t>
  </si>
  <si>
    <t>Sportovní parašutistický klub Tandemové centrum Liberec z.s.</t>
  </si>
  <si>
    <t>Sportovní plavecký klub Slavia Liberec, z.s.</t>
  </si>
  <si>
    <t>SPORTOVNÍ ŠKOLIČKA OBČANSKÉ SDRUŽENÍ</t>
  </si>
  <si>
    <t>Sports 4 everyone, z. s.</t>
  </si>
  <si>
    <t>Sportujsepsem z.s.</t>
  </si>
  <si>
    <t>Sport4Every1, z. s.</t>
  </si>
  <si>
    <t>SPOT - spolek pro podporu turistiky</t>
  </si>
  <si>
    <t>SPPolek z.s.</t>
  </si>
  <si>
    <t>Srdce Montessori, z.s.</t>
  </si>
  <si>
    <t>SRPDŠ při ZŠ JABLOŇOVÁ v likvidaci</t>
  </si>
  <si>
    <t>SRPŠ Kaplického, z.s.</t>
  </si>
  <si>
    <t>SRPŠ ZUŠ LIBEREC, z.s.</t>
  </si>
  <si>
    <t>Stáj Dublet</t>
  </si>
  <si>
    <t>Stavovská unie studentů při Vysoké škole strojní a textilní v Liberci</t>
  </si>
  <si>
    <t>"STEPPI", v likvidaci</t>
  </si>
  <si>
    <t>Stop Fest o.p.s.</t>
  </si>
  <si>
    <t>Stravování A-Z, z. s.</t>
  </si>
  <si>
    <t>Strimba, z.s. v likvidaci</t>
  </si>
  <si>
    <t>STROMKAŘI</t>
  </si>
  <si>
    <t>Stromy pro Liberec o.s.</t>
  </si>
  <si>
    <t>STRUNAKLUB SPORT-Liberec</t>
  </si>
  <si>
    <t>Středisko volného času Narnie</t>
  </si>
  <si>
    <t>Střelecký klub Huts, zapsaný spolek</t>
  </si>
  <si>
    <t>Studentská unie Technické univerzity v Liberci, z.s.</t>
  </si>
  <si>
    <t>Studentské sdružení za lepší páteční neděli</t>
  </si>
  <si>
    <t>SudetyCup z. s.</t>
  </si>
  <si>
    <t>Sumó klub - SUMÓ Liberec z.s.</t>
  </si>
  <si>
    <t>Sunshine z.s.</t>
  </si>
  <si>
    <t>Support for Ukraine, z.s.</t>
  </si>
  <si>
    <t>SVAZ DIABETIKŮ ČR, územní organizace Liberec</t>
  </si>
  <si>
    <t>Svaz na ochranu dětí a mládeže v Libereci</t>
  </si>
  <si>
    <t>Svaz neslyšících a nedoslýchavých osob v ČR, z.s., Základní organizace nedoslýchavých Liberec, p.s.</t>
  </si>
  <si>
    <t>Svaz postižených civilizačními chorobami v ČR krajský výbor Liberec</t>
  </si>
  <si>
    <t>Svaz postižených civilizačními chorobami v ČR, z.s., Okresní organizace Liberec</t>
  </si>
  <si>
    <t>Svaz postižených civilizačními chorobami v ČR, z.s., základní organizace Diabetiků Liberec</t>
  </si>
  <si>
    <t>Svaz postižených civilizačními chorobami v ČR, z.s., základní organizace kardiaků Liberec</t>
  </si>
  <si>
    <t>Svaz Vietnamců v Libereckém kraji, z.s.</t>
  </si>
  <si>
    <t>SVB - Aloisina výšina 418 - 423</t>
  </si>
  <si>
    <t>SVB - dům č. 358, 359, 360, Liberec 5</t>
  </si>
  <si>
    <t>SVB - dům č. 392/8, Liberec 5</t>
  </si>
  <si>
    <t>Svépomoc garáží Liberec, z.s.</t>
  </si>
  <si>
    <t>Svítání, z.s.</t>
  </si>
  <si>
    <t>Symfonický orchestr Liberec, z.s.</t>
  </si>
  <si>
    <t>Syndikát severočeských novinářů</t>
  </si>
  <si>
    <t>„SYNER-PRO Liberec o.s.”</t>
  </si>
  <si>
    <t>Syner-Team Liberec</t>
  </si>
  <si>
    <t>Sysel v Hradčanech, z.s.</t>
  </si>
  <si>
    <t>SYSTEMA RMA Liberec, z.s.</t>
  </si>
  <si>
    <t>SZTM ROB Liberec, z.s.</t>
  </si>
  <si>
    <t>Šachový klub SLAVIA Liberec, z.s.</t>
  </si>
  <si>
    <t>Šachový svaz Libereckého kraje</t>
  </si>
  <si>
    <t>ŠERM Liberec, z.s.</t>
  </si>
  <si>
    <t>ŠK AMITEAM ŽIŽKOV LBC</t>
  </si>
  <si>
    <t>ŠK Kapličák Liberec, spolek</t>
  </si>
  <si>
    <t>Škola otewřená dětem, z.s.</t>
  </si>
  <si>
    <t>ŠKOLKA NA LODI z.s.</t>
  </si>
  <si>
    <t>Školní sportovní klub při ZŠ Na Perštýně 44</t>
  </si>
  <si>
    <t>Tábor Kokořín Důl z.s.</t>
  </si>
  <si>
    <t>Tábor Kokořín 1.běh z. s.</t>
  </si>
  <si>
    <t>Tallhoferův Dol, z. s.</t>
  </si>
  <si>
    <t>Tanec Liberec, z. s.</t>
  </si>
  <si>
    <t>Taneční klub Čermák, z.s. v likvidaci</t>
  </si>
  <si>
    <t>Taneční klub KOŠKOVI, z.s.</t>
  </si>
  <si>
    <t>Taneční skupina TAKT Jablonec, z.s.</t>
  </si>
  <si>
    <t>Taneční skupina TAKT Liberec, z.s.</t>
  </si>
  <si>
    <t>Technické muzeum Liberec - z.s.</t>
  </si>
  <si>
    <t>Technické sporty Podještědí</t>
  </si>
  <si>
    <t>Technopark Liberec, z.s.</t>
  </si>
  <si>
    <t>Tělocvičná jednota Sokol Horní Růžodol</t>
  </si>
  <si>
    <t>Tělocvičná jednota Sokol Liberec 1</t>
  </si>
  <si>
    <t>Tělocvičná jednota Sokol Liberec 3 - Františkov</t>
  </si>
  <si>
    <t>Tělovýchovná jednota BÍLÍ TYGŘI LIBEREC, z.s.</t>
  </si>
  <si>
    <t>Tělovýchovná jednota BROUMOVSKÁ</t>
  </si>
  <si>
    <t>Tělovýchovná jednota Dynamo Liberec z.s.</t>
  </si>
  <si>
    <t>Tělovýchovná jednota "Ještěďáci"</t>
  </si>
  <si>
    <t>Tělovýchovná jednota Krásná Studánka</t>
  </si>
  <si>
    <t>Tělovýchovná jednota Lokomotiva Liberec I, z.s.</t>
  </si>
  <si>
    <t>Tělovýchovná jednota SLAVIA Liberec, z.s.</t>
  </si>
  <si>
    <t>Tělovýchovná jednota Sokol Ostašov</t>
  </si>
  <si>
    <t>Tělovýchovná jednota Sokol Ruprechtice, z.s.</t>
  </si>
  <si>
    <t>Tělovýchovná jednota Starý Harcov Liberec z.s.</t>
  </si>
  <si>
    <t>Tělovýchovná jednota T.T.C. table tennis club LIBEREC</t>
  </si>
  <si>
    <t>Tělovýchovná jednota VIVA Liberec, z.s.</t>
  </si>
  <si>
    <t>TEN DANCES z.s.</t>
  </si>
  <si>
    <t>TENIS BROUMOVSKÁ Liberec, tenisový areál</t>
  </si>
  <si>
    <t>Tenisový klub Harcov z. s.</t>
  </si>
  <si>
    <t>Tenisový klub LTC Hotel U Jezírka Liberec</t>
  </si>
  <si>
    <t>TEQBALL CLUB LIBEREC z. s.</t>
  </si>
  <si>
    <t>Terezia snowboard klub Liberec</t>
  </si>
  <si>
    <t>TERRA REGIA</t>
  </si>
  <si>
    <t>T-GRASS, z.s.</t>
  </si>
  <si>
    <t>The Wings</t>
  </si>
  <si>
    <t>THÉMIS LIBEREC</t>
  </si>
  <si>
    <t>TITANS LIBEREC, spolek</t>
  </si>
  <si>
    <t>TJ Desko Liberec, z. s.</t>
  </si>
  <si>
    <t>TJ DUKLA Liberec, z.s.</t>
  </si>
  <si>
    <t>T.J. GASSERVIS LIBEREC</t>
  </si>
  <si>
    <t>T.J. JEŠTĚD Liberec AL</t>
  </si>
  <si>
    <t>TJ Jiskra Machnín, z.s.</t>
  </si>
  <si>
    <t>TJ Kardio z.s. Liberec</t>
  </si>
  <si>
    <t>TJ Lokomotiva 3 Liberec z. s.</t>
  </si>
  <si>
    <t>TJ Nová Ruda o.s.</t>
  </si>
  <si>
    <t>TJ PROVAS Liberec</t>
  </si>
  <si>
    <t>TJ Rapid Liberec</t>
  </si>
  <si>
    <t>TJ RE-SPORT Liberec</t>
  </si>
  <si>
    <t>TJ Rochlice z.s.</t>
  </si>
  <si>
    <t>TJ Saturn Liberec</t>
  </si>
  <si>
    <t>TJ Slovan Vesec, z.s.</t>
  </si>
  <si>
    <t>TJ Sokol Doubí z.s.</t>
  </si>
  <si>
    <t>TJ Spartak Pavlovice, spolek</t>
  </si>
  <si>
    <t>TJ Start Liberec z.s.</t>
  </si>
  <si>
    <t>TJ Středisko plavecké výuky Liberec</t>
  </si>
  <si>
    <t>TJ SVCH Kozly</t>
  </si>
  <si>
    <t>TJ Textilana Liberec</t>
  </si>
  <si>
    <t>TJ VK DUKLA LIBEREC z.s.</t>
  </si>
  <si>
    <t>TK Rochlice Liberec z.s.</t>
  </si>
  <si>
    <t>TK Slovan Liberec z.s.</t>
  </si>
  <si>
    <t>TODA team Liberec</t>
  </si>
  <si>
    <t>TOP Horizont Liberec o.s.</t>
  </si>
  <si>
    <t>Top tým Liberec, z.s.</t>
  </si>
  <si>
    <t>TORION Liberec</t>
  </si>
  <si>
    <t>Trabant sport klub</t>
  </si>
  <si>
    <t>Trampolíny Liberec, z.s.</t>
  </si>
  <si>
    <t>Trampolíny Patrman, z.ú.</t>
  </si>
  <si>
    <t>TRI-SPACE, z.s.</t>
  </si>
  <si>
    <t>Trojzemí Nisa, z.s.</t>
  </si>
  <si>
    <t>Trojzemí, o.p.s.</t>
  </si>
  <si>
    <t>Rozvíjení vzájemného přátelství a porozumění mezi národy</t>
  </si>
  <si>
    <t>Trojzubec, z.s.</t>
  </si>
  <si>
    <t>TSK RŮŽODOL o.s.</t>
  </si>
  <si>
    <t>TTC Ruprechtice /Table Tenis Club/</t>
  </si>
  <si>
    <t>TULBand, z. s.</t>
  </si>
  <si>
    <t>Turistický klub "SUP"</t>
  </si>
  <si>
    <t>Turistický oddíl Kletr, z.s.</t>
  </si>
  <si>
    <t>Two For Art, z.s.</t>
  </si>
  <si>
    <t>Týdny pohybu hrou, z. s.</t>
  </si>
  <si>
    <t>TyfloCentrum Liberec, o.p.s.</t>
  </si>
  <si>
    <t>Tygrofans z.s.</t>
  </si>
  <si>
    <t>Tygříci z.s.</t>
  </si>
  <si>
    <t>ÚAMK - AMK SBS RACING</t>
  </si>
  <si>
    <t>Udržet Bydlení, z.s.</t>
  </si>
  <si>
    <t>Udržitelně, z. s.</t>
  </si>
  <si>
    <t>uliciZákladní organizace odborového svazu pracovníků školství při Základní škole v Ještědské</t>
  </si>
  <si>
    <t>Umění bez hranic, o.s.</t>
  </si>
  <si>
    <t>Unie canisasistentů o.s.</t>
  </si>
  <si>
    <t>Unie elektrotechniků České republiky, v likvidaci</t>
  </si>
  <si>
    <t>Unie pro sport a zdraví</t>
  </si>
  <si>
    <t>UNIE RODIČŮ ČR - SDRUŽENÍ PŘI OBCHODNÍ AKADEMII V LIBERCI 1 v likvidaci</t>
  </si>
  <si>
    <t>UNIE RODIČŮ ČR - sdružení při SPŠSE a VOŠ v Liberci v likvidaci</t>
  </si>
  <si>
    <t>UNIE RODIČŮ ČR - Sdružení při ZŠ Vrchlického Liberec v likvidaci</t>
  </si>
  <si>
    <t>Unie rodičů při SPŠT v Liberci v likvidaci</t>
  </si>
  <si>
    <t>Unie rodičů SPŠSE a VOŠ Liberec, z.s.</t>
  </si>
  <si>
    <t>Unie ROSKA - reg. org. ROSKA LIBEREC, z.p.s.</t>
  </si>
  <si>
    <t>Unie rozhodců České republiky</t>
  </si>
  <si>
    <t>Unie správců České republiky</t>
  </si>
  <si>
    <t>UNIVERSUS z. s.</t>
  </si>
  <si>
    <t>"Úplně nenormální ochotnický spolek"</t>
  </si>
  <si>
    <t>USA trader z.s.</t>
  </si>
  <si>
    <t>USK Slavia Liberec, z.s.</t>
  </si>
  <si>
    <t>Úsměv pro matky s dětmi</t>
  </si>
  <si>
    <t>Územní sdružení Českého zahrádkářského svazu Liberec</t>
  </si>
  <si>
    <t>Váš pes o. s.</t>
  </si>
  <si>
    <t>Včela a náš domov, z. s.</t>
  </si>
  <si>
    <t>Vědeckotechnické sdružení a.s. PLASTIMAT</t>
  </si>
  <si>
    <t>VELES Platinum, z.s.</t>
  </si>
  <si>
    <t>Vem Camará Capoeira Liberec z.s.</t>
  </si>
  <si>
    <t>Venkovský prostor o.p.s.</t>
  </si>
  <si>
    <t>Veselá žába</t>
  </si>
  <si>
    <t>Veselá žabička z.s.</t>
  </si>
  <si>
    <t>Veteran Car Club Nisa v AČR</t>
  </si>
  <si>
    <t>Veteran Extreme Club Liberec</t>
  </si>
  <si>
    <t>Veterán Klub Liberec, z.s.</t>
  </si>
  <si>
    <t>VHT Slovan Liberec z.s.</t>
  </si>
  <si>
    <t>Via fidelis z.s.</t>
  </si>
  <si>
    <t>Via Regia z.s.</t>
  </si>
  <si>
    <t>Victory Time, z.s.</t>
  </si>
  <si>
    <t>Vidět Semily z. s.</t>
  </si>
  <si>
    <t>VIKING běžecký klub Starý Harcov, z.s.</t>
  </si>
  <si>
    <t>Viking Pilínkov, z.s.</t>
  </si>
  <si>
    <t>Vilová čtvrť Svojsíkova</t>
  </si>
  <si>
    <t>Vodácký spolek Kalivoda</t>
  </si>
  <si>
    <t>VODNÍ A POTÁPĚČSKÁ ZÁCHRANNÁ SLUŽBA, z.s.</t>
  </si>
  <si>
    <t>Vodní brána z.s.</t>
  </si>
  <si>
    <t>VODNÍ ZÁCHRANNÁ A POTÁPĚČSKÁ SLUŽBA LIBEREC</t>
  </si>
  <si>
    <t>Vodní záchranná služba ČČK Liberec, pobočný spolek</t>
  </si>
  <si>
    <t>"Volejbalklub Liberec z.s. v likvidaci"</t>
  </si>
  <si>
    <t>VOLLEYBALL CLUB Rochlice</t>
  </si>
  <si>
    <t>VOZÍČKÁŘI EUROREGION NISA o.p.s.</t>
  </si>
  <si>
    <t>Všeoborový odborový svaz</t>
  </si>
  <si>
    <t>VTJ RAPID LIBEREC, spolek</t>
  </si>
  <si>
    <t>"Výbor na odhalení teroru KSČ v koncentráku Minkovice i jinde"</t>
  </si>
  <si>
    <t>Vysoká LB</t>
  </si>
  <si>
    <t>Vysokohorský klub</t>
  </si>
  <si>
    <t>Vysoký Kopec, z.s.</t>
  </si>
  <si>
    <t>Vzděláním proti krizi - Sustainable future o.s.</t>
  </si>
  <si>
    <t>Vzdělávací a výzkumný ústav biografické péče o seniory, z.ú.</t>
  </si>
  <si>
    <t>Vzdušná akrobacie Liberec z. s.</t>
  </si>
  <si>
    <t>Wakeboarding Jablonec, o.s.</t>
  </si>
  <si>
    <t>Waldorfská iniciativa Liberec, z.s.</t>
  </si>
  <si>
    <t>Water RESCUE Liberec z.s.</t>
  </si>
  <si>
    <t>WOMBATRONIC, z.s.</t>
  </si>
  <si>
    <t>Work Servis Agency z.s. v likvidaci</t>
  </si>
  <si>
    <t>WORLD FOOTDARTS ASSOCIATION z.s.</t>
  </si>
  <si>
    <t>WORLDCENTRUM APZ HANDICAP o.p.s.</t>
  </si>
  <si>
    <t>WUCGOLF 2012, v likvidaci</t>
  </si>
  <si>
    <t>x-fatul - sdružení absolventů a přátel Fakulty umění a architektury TU v Liberci</t>
  </si>
  <si>
    <t>XTREME Jumpers</t>
  </si>
  <si>
    <t>"YAFA - YoungAndFresh (Asses) Association"</t>
  </si>
  <si>
    <t>Yerlango o.s.</t>
  </si>
  <si>
    <t>YMCA LIBEREC</t>
  </si>
  <si>
    <t>Za zdravý Liberec o.s.</t>
  </si>
  <si>
    <t>Za život srnčat z.s.</t>
  </si>
  <si>
    <t>Zadost, z. s.</t>
  </si>
  <si>
    <t>Zahrádka Liberec z.s.</t>
  </si>
  <si>
    <t>Zahrádkářská osada Horymírova, z.s.</t>
  </si>
  <si>
    <t>Zahradní 433 a 434 LB</t>
  </si>
  <si>
    <t>Zahradní 437 a 438 LB</t>
  </si>
  <si>
    <t>Základní odborová organizace Národního památkového ústavu, ÚOP v Liberci</t>
  </si>
  <si>
    <t>Základní odborová organizace New Perspective</t>
  </si>
  <si>
    <t>Základní odborová organizace Odborového svazu pracovníků obchodu BILLA, spol. s r.o.</t>
  </si>
  <si>
    <t>Základní odborová organizace Odborového svazu pracovníků obchodu, Globus ČR, k. s.</t>
  </si>
  <si>
    <t>Základní odborová organizace Odborového svazu pracovníků obchodu, Kaufland ČR, v. o. s.</t>
  </si>
  <si>
    <t>Základní odborová organizace odborového svazu pracovníků obchodu SD Jednota, Maloobchod-velkoobchod</t>
  </si>
  <si>
    <t>Základní odborová organizace Odborového svazu státních orgánů a organizací při České obchodní inspekci v Liberci</t>
  </si>
  <si>
    <t>Základní odborová organizace pracovníků BMTO</t>
  </si>
  <si>
    <t>Základní odborová organizace pracovníků CZECH CAREER</t>
  </si>
  <si>
    <t>Základní odborová organizace pracovníků v IT</t>
  </si>
  <si>
    <t>Základní odborová organizace Severočeského muzea v Liberci</t>
  </si>
  <si>
    <t>Základní organizace - místní Odborového svazu pracovníků obchodu</t>
  </si>
  <si>
    <t>Základní organizace Českého zahrádkářského svazu Bílý Kostel nad Nisou</t>
  </si>
  <si>
    <t>Základní organizace Českého zahrádkářského svazu Chabařovice II</t>
  </si>
  <si>
    <t>Základní organizace Českého zahrádkářského svazu Františkov Liberec</t>
  </si>
  <si>
    <t>Základní organizace Českého zahrádkářského svazu Horní Hanychov Liberec</t>
  </si>
  <si>
    <t>Základní organizace Českého zahrádkářského svazu Jeřmanice</t>
  </si>
  <si>
    <t>Základní organizace Českého zahrádkářského svazu Kopečná Liberec 6</t>
  </si>
  <si>
    <t>Základní organizace Českého zahrádkářského svazu Králův háj Liberec</t>
  </si>
  <si>
    <t>Základní organizace Českého zahrádkářského svazu Kunratice Liberec</t>
  </si>
  <si>
    <t>Základní organizace Českého zahrádkářského svazu Letiště Liberec</t>
  </si>
  <si>
    <t>Základní organizace Českého zahrádkářského svazu Liberec  Pilinkov</t>
  </si>
  <si>
    <t>Základní organizace Českého zahrádkářského svazu Liberec Pavlovice</t>
  </si>
  <si>
    <t>Základní organizace Českého zahrádkářského svazu Liberec 10 - sídliště</t>
  </si>
  <si>
    <t>Základní organizace Českého zahrádkářského svazu Liberec 11 - Růžodol I.</t>
  </si>
  <si>
    <t>Základní organizace Českého zahrádkářského svazu, Liberec 14 - Horská</t>
  </si>
  <si>
    <t>Základní organizace Českého zahrádkářského svazu Liberec 2</t>
  </si>
  <si>
    <t>Základní organizace Českého zahrádkářského svazu Machnín Liberec</t>
  </si>
  <si>
    <t>Základní organizace Českého zahrádkářského svazu Pod školou Liberec</t>
  </si>
  <si>
    <t>Základní organizace Českého zahrádkářského svazu R LIBEREC</t>
  </si>
  <si>
    <t>Základní organizace Českého zahrádkářského svazu Ruprechtice Liberec</t>
  </si>
  <si>
    <t>Základní organizace Českého zahrádkářského svazu "Sad míru" Liberec 4</t>
  </si>
  <si>
    <t>Základní organizace Českého zahrádkářského svazu Severka Liberec</t>
  </si>
  <si>
    <t>Základní organizace Českého zahrádkářského svazu U lípy Liberec 11</t>
  </si>
  <si>
    <t>Základní organizace Českého zahrádkářského svazu U lomu Liberec 30 - Vratislavice</t>
  </si>
  <si>
    <t>Základní organizace Českého zahrádkářského svazu U mlýna Liberec</t>
  </si>
  <si>
    <t>Základní organizace Českého zahrádkářského svazu "Úvozní" Liberec</t>
  </si>
  <si>
    <t>Základní organizace Českého zahrádkářského svazu Ve svahu Liberec</t>
  </si>
  <si>
    <t>Základní organizace Českého zahrádkářského svazu Vesec Liberec</t>
  </si>
  <si>
    <t>Základní organizace odborového sdružení PRAD Preciosa - závod 3 - Liberec</t>
  </si>
  <si>
    <t>Základní organizace Odborového svazu dopravy ČSAD Liberec</t>
  </si>
  <si>
    <t>Základní organizace Odborového svazu ECHO Teplárna Liberec a.s.</t>
  </si>
  <si>
    <t>Základní organizace Odborového svazu hasičů Liberec</t>
  </si>
  <si>
    <t>Základní organizace Odborového svazu pracovníků odbchodu OBI market</t>
  </si>
  <si>
    <t>Základní organizace odborového svazu pracovníků školství při DDÚ U opatrovny</t>
  </si>
  <si>
    <t>Základní organizace odborového svazu pracovníků školství při Gymnáziu F.X.Šaldy</t>
  </si>
  <si>
    <t>Základní organizace odborového svazu pracovníků školství při Internátní škole v ulici E.Krásnohorské</t>
  </si>
  <si>
    <t>Základní organizace odborového svazu pracovníků školství při Mateřské škole ve Stromovce</t>
  </si>
  <si>
    <t>Základní organizace odborového svazu pracovníků školství při Obchodní akademii v Šamánkově ulici</t>
  </si>
  <si>
    <t>Základní organizace odborového svazu pracovníků školství při Odbor.učilišti v Jablonecké ulici</t>
  </si>
  <si>
    <t>Základní organizace odborového svazu pracovníků školství při speciální škole a školském zařízení pro tělesně postižené v Lužické ulici</t>
  </si>
  <si>
    <t>Základní organizace odborového svazu pracovníků školství při Speciální škole v Lužické ulici</t>
  </si>
  <si>
    <t>Základní organizace odborového svazu pracovníků školství při Speciální základní škole při Nemocnici v Liberci</t>
  </si>
  <si>
    <t>Základní organizace odborového svazu pracovníků školství při SPŠ strojní a elektro v Masarykově ulici</t>
  </si>
  <si>
    <t>Základní organizace odborového svazu pracovníků školství při SPŠ textilní v Tyršově ulici</t>
  </si>
  <si>
    <t>Základní organizace odborového svazu pracovníků školství při Střední průmyslové škole stavební při Sokolovském náměstí</t>
  </si>
  <si>
    <t>Základní organizace odborového svazu pracovníků školství při Základní škole na Aloisině výšině</t>
  </si>
  <si>
    <t>Základní organizace odborového svazu pracovníků školství při Základní škole v Broumovské ulici</t>
  </si>
  <si>
    <t>Základní organizace odborového svazu pracovníků školství při Základní škole v Dvorské ulici</t>
  </si>
  <si>
    <t>Základní organizace odborového svazu pracovníků školství při Základní škole v Kaplické ulici</t>
  </si>
  <si>
    <t>Základní organizace odborového svazu pracovníků školství při Základní škole v Křižanské ulici</t>
  </si>
  <si>
    <t>Základní organizace odborového svazu pracovníků školství při Základní škole v Růžodolské ulici</t>
  </si>
  <si>
    <t>Základní organizace odborového svazu pracovníků školství při Základní škole v Sokolovské ulici</t>
  </si>
  <si>
    <t>Základní organizace odborového svazu pracovníků školství při Základní škole v ulici J.Švermy</t>
  </si>
  <si>
    <t>Základní organizace odborového svazu pracovníků školství při Základní škole v ulici U soudu</t>
  </si>
  <si>
    <t>Základní organizace odborového svazu pracovníků školství při Zvláštní škole v Gollově ulici</t>
  </si>
  <si>
    <t>Základní organizace Odborového svazu státních orgánů a organizací Úřad práce</t>
  </si>
  <si>
    <t>Základní organizace Odborového svazu zdravotnictví a sociální péče ČR, Krajská hygienická stanice Libereckého kraje se sídlem v Liberci</t>
  </si>
  <si>
    <t>Základní organizace Odborového svazu zdravotnictví a sociální péče ČR Krajské nemocnice Liberec</t>
  </si>
  <si>
    <t>Základní organizace Odborového svazu zdravotnictví a sociální péče ČR, ZZS LK</t>
  </si>
  <si>
    <t>Základní organizace OS SOO Finanční úřad pro Liberecký kraj</t>
  </si>
  <si>
    <t>Základní organizace OS SOO při MML</t>
  </si>
  <si>
    <t>Základní organizace OS Stavba ČR při EUROVIA CS,a.s.,závod Liberec</t>
  </si>
  <si>
    <t>Základní organizace Unie bezpečnostních složek Liberec - "ZO Unie BS Liberec"</t>
  </si>
  <si>
    <t>Zálesák</t>
  </si>
  <si>
    <t>ZalozFirmu.cz obecně prospěšná společnost</t>
  </si>
  <si>
    <t>Zámek Stvolínky, o .s.</t>
  </si>
  <si>
    <t>ZÁPAS LOKO NELSON LIBEREC, občanské sdružení</t>
  </si>
  <si>
    <t>Zapsaný spolek Jizerské aktivity</t>
  </si>
  <si>
    <t>Vydávání knih, periodických publikací a ostatní vydavatelské činnosti</t>
  </si>
  <si>
    <t>Zapsaný spolek Juxtim</t>
  </si>
  <si>
    <t>zapsaný spolek "Liberecké fórum"</t>
  </si>
  <si>
    <t>Zašíwárna z. s.</t>
  </si>
  <si>
    <t>Zbytek o.s.</t>
  </si>
  <si>
    <t>Zdravý zoubek, spolek</t>
  </si>
  <si>
    <t>Zemská stavovská rodová unie z.s.</t>
  </si>
  <si>
    <t>ZEMSKÁ VINOTÉKA</t>
  </si>
  <si>
    <t>ZLATÁ KAŇKA - GOLDEN BLOT, z.s.</t>
  </si>
  <si>
    <t>Změna pro Liberec, z.s.</t>
  </si>
  <si>
    <t>ZO ČSOP ARMILLARIA</t>
  </si>
  <si>
    <t>ZO ČSOP Formica</t>
  </si>
  <si>
    <t>ZO ČSOP Kateřinky</t>
  </si>
  <si>
    <t>ZO ČSOP KLETR</t>
  </si>
  <si>
    <t>ZO ČSÚ Krajská správa Liberec</t>
  </si>
  <si>
    <t>ZO FOS v hornictví geologii a těžbě nafty při OBÚ v Liberci</t>
  </si>
  <si>
    <t>ZO MAGNA BOHEMIA</t>
  </si>
  <si>
    <t>ZO Odborového svazu státních orgánů a organizací při Vazební věznici v Liberci</t>
  </si>
  <si>
    <t>ZO Odbor.svazu prac.obchodu - Jednota SD</t>
  </si>
  <si>
    <t>ZO Odbor.svazu prac.obchodu - Korint a.s.</t>
  </si>
  <si>
    <t>ZO Odbor.svazu prac.obchodu - Severotex a.s.</t>
  </si>
  <si>
    <t>ZO OS KOVO Automotive Liberec</t>
  </si>
  <si>
    <t>ZO OS KOVO Cattron</t>
  </si>
  <si>
    <t>ZO OS KOVO Denso Liberec</t>
  </si>
  <si>
    <t>ZO OS KOVO Fehrer Liberec</t>
  </si>
  <si>
    <t>ZO OS KOVO FERONA LIBEREC</t>
  </si>
  <si>
    <t>ZO OS KOVO Harmony</t>
  </si>
  <si>
    <t>ZO OS KOVO při Delbag Liberec</t>
  </si>
  <si>
    <t>ZO OS KOVO při LVZ Liberec</t>
  </si>
  <si>
    <t>ZO OS KOVO Thermal Systems</t>
  </si>
  <si>
    <t>ZO OS KOVO VÚTS</t>
  </si>
  <si>
    <t>ZO OS prac.dopravy,silnič.hospodář. a autooprav. Čech a Moravy při Dopravním pod. města LIBERCE</t>
  </si>
  <si>
    <t>ZO OS prac.obchodu - Obchod obuví a.s.</t>
  </si>
  <si>
    <t>ZO OS prac.obchodu - Severotex a.s. - VO sklady LIBEREC</t>
  </si>
  <si>
    <t>ZO OS pracovníků dopravy,silničního hospodářství a autoopravárenství Čech a Moravy Ředitelství silnic a dálnic ČR - správa LIBEREC</t>
  </si>
  <si>
    <t>ZO OS pracovníků peněžnictví a pojišťovnictví Česká spořitelna, a.s.</t>
  </si>
  <si>
    <t>ZO OS PRAD závod 15 Preciosa a.s.</t>
  </si>
  <si>
    <t>ZO OS státních orgánů a organizací CÚ pro Liberecký kraj se sídlem v Liberci</t>
  </si>
  <si>
    <t>ZO OS STAVBA ČR při EUROVIA Kamenolomy, a.s. Liberec podnikové ředitelství</t>
  </si>
  <si>
    <t>ZO OS STAVBA ČR, při SŠ Liberec</t>
  </si>
  <si>
    <t>ZO OS Strabag a.s. Liberec</t>
  </si>
  <si>
    <t>ZO OS UNIOS GAS Liberec</t>
  </si>
  <si>
    <t>ZO OS UNIOS SBD Sever</t>
  </si>
  <si>
    <t>ZO OS UNIOS Technické služby Liberec</t>
  </si>
  <si>
    <t>ZO OS zdrav. při Jedličkově ústavu v LIBERCI</t>
  </si>
  <si>
    <t>ZO OS ZPTNS Česká pošta s.p. - Pošty Liberecka</t>
  </si>
  <si>
    <t>ZO OSE Energetické montážní společnosti s.r.o. Liberec</t>
  </si>
  <si>
    <t>ZO OSŽ DKV Liberec</t>
  </si>
  <si>
    <t>ZO OSŽ SDC Liberec</t>
  </si>
  <si>
    <t>ZO OSŽ SŽ s.o. Hasičský záchranný sbor</t>
  </si>
  <si>
    <t>ZO OSŽ Železniční stanice</t>
  </si>
  <si>
    <t>ZO SILNICE LK Liberec</t>
  </si>
  <si>
    <t>ZO SOS-21.KV LBK Nezávislé odborové sdružení pracovníků České pošty kraj Liberecký</t>
  </si>
  <si>
    <t>ZO SOS-21.LI Nezávislé odborové sdružení pracovníků České pošty okres Liberec</t>
  </si>
  <si>
    <t>ZO UNIE - odborový svaz orchestrálních hudebníků ČR Divadla F.X.Šaldy</t>
  </si>
  <si>
    <t>ZO UZO ALBERT Liberec</t>
  </si>
  <si>
    <t>ZO UZO TESCO</t>
  </si>
  <si>
    <t>ZOO Odborového svazu pracovníků obchodu BILLA, spol. s r.o.</t>
  </si>
  <si>
    <t>Zuzi studio Liberec</t>
  </si>
  <si>
    <t>"ZVONKY"</t>
  </si>
  <si>
    <t>Ženy ze Severu z.s.</t>
  </si>
  <si>
    <t>Židovská obec Liberec</t>
  </si>
  <si>
    <t>Žijeme a sportujeme, z.s.</t>
  </si>
  <si>
    <t>Život kolem nás, z. s.</t>
  </si>
  <si>
    <t>1. SK8 klub Liberec</t>
  </si>
  <si>
    <t>2-K Motion z.s.</t>
  </si>
  <si>
    <t>24TP</t>
  </si>
  <si>
    <t>3D &amp; Bowhunters - Archery Club, z.s.</t>
  </si>
  <si>
    <t>3XN sportovně-kulturní klub</t>
  </si>
  <si>
    <t>36/02 ZO ČSOP při Správě CHKO Jizerské hory</t>
  </si>
  <si>
    <t>Adaptace LBC z.s.</t>
  </si>
  <si>
    <t>Liberec-Vratislavice nad Nisou</t>
  </si>
  <si>
    <t>Akademie sportu Liberec, z. s.</t>
  </si>
  <si>
    <t>ALIMAXRACING, o. s.</t>
  </si>
  <si>
    <t>Antares Defense z.s.</t>
  </si>
  <si>
    <t>Asociace TOM ČR, TOM 19191 MYŠÁCI</t>
  </si>
  <si>
    <t>Asterion LDT, z. s.</t>
  </si>
  <si>
    <t>AUTOMUZEUM z.s.</t>
  </si>
  <si>
    <t>AvantgArt, z. s.</t>
  </si>
  <si>
    <t>Beach Volley Vratislavice n. N. z. s.</t>
  </si>
  <si>
    <t>„bedrichov friedrichswald.net“</t>
  </si>
  <si>
    <t>Betany Liberec, z.s.</t>
  </si>
  <si>
    <t>Bohemicus o.p.s.</t>
  </si>
  <si>
    <t>CYKLISTÉ LIBERECKA z.s.</t>
  </si>
  <si>
    <t>Český Kiting, z.s.</t>
  </si>
  <si>
    <t>Český kynologický svaz ZKO Liberec - Arnema - 284</t>
  </si>
  <si>
    <t>Český kynologický svaz ZKO Liberec - Hanychov - 508</t>
  </si>
  <si>
    <t>Český svaz včelařů, z.s., základní organizace Vratislavice</t>
  </si>
  <si>
    <t>ČSS, z.s. - sportovně střelecký klub Liberec KPK</t>
  </si>
  <si>
    <t>Dětský sen, z. s.</t>
  </si>
  <si>
    <t>Evropan Liberec o.s.</t>
  </si>
  <si>
    <t>Evropský investiční a rozvojový institut, z.s.</t>
  </si>
  <si>
    <t>J &amp; M GRUP CLUB o.s.</t>
  </si>
  <si>
    <t>Jednota bratrská Vratislavice</t>
  </si>
  <si>
    <t>Jeep club Liberec o.s.</t>
  </si>
  <si>
    <t>JESSI, o.p.s.</t>
  </si>
  <si>
    <t>Poskytování ostatních osobních služeb</t>
  </si>
  <si>
    <t>JK IMPERIA BONI,z.s.</t>
  </si>
  <si>
    <t>Junák - český skaut, středisko Šurean Liberec, z. s.</t>
  </si>
  <si>
    <t>KCL KOOPERATIVA - SVIJANY, spolek</t>
  </si>
  <si>
    <t>Klub filatelistů Liberec, z.s.</t>
  </si>
  <si>
    <t>„Klub přátel Vítězslava Gaubice” - oddíl kopané TJ Jiskra Vratislavice n/Nisou</t>
  </si>
  <si>
    <t>Klub táborníků ve Vratislavicích n. Nisou</t>
  </si>
  <si>
    <t>Klub Vlasty Buriana, o.s.</t>
  </si>
  <si>
    <t>Klub vojenské historie Pěšího pluku 44.Branné moci Československé republiky v Liberci</t>
  </si>
  <si>
    <t>Kouzelný svět hlíny, z.s.</t>
  </si>
  <si>
    <t>Kryštof o. s.</t>
  </si>
  <si>
    <t>Ladyhop Liberec</t>
  </si>
  <si>
    <t>LETECKÝ KLUB LAA z.s. Letiště Hradčany nad Ploučnicí</t>
  </si>
  <si>
    <t>Liberec Valkyries o.s.</t>
  </si>
  <si>
    <t>Lyžařský klub "Solido sport uni Team"</t>
  </si>
  <si>
    <t>MK VRATISLAVICE nad NISOU modelářský klub p.s.</t>
  </si>
  <si>
    <t>MMA Liberec z.s.</t>
  </si>
  <si>
    <t>Moravskoslezský kynologický svaz, Kynologický klub BOSIVLK, pobočný spolek</t>
  </si>
  <si>
    <t>MS HUBERT-RENAULT</t>
  </si>
  <si>
    <t>Můj Život - Miro Dzivipen o.s.</t>
  </si>
  <si>
    <t>Muzeum šicích strojů z. s.</t>
  </si>
  <si>
    <t>Myslivecké sdružení Vratislavice</t>
  </si>
  <si>
    <t>Myslivecký spolek Vesec</t>
  </si>
  <si>
    <t>Nábytková banka Libereckého kraje, z. s.</t>
  </si>
  <si>
    <t>Nadační fond Josefa Šurala</t>
  </si>
  <si>
    <t>Naděje zůstává</t>
  </si>
  <si>
    <t>Naše Vratislavice o.s.</t>
  </si>
  <si>
    <t>Nová Ruda o. s.</t>
  </si>
  <si>
    <t>Občanské sdružení HC Panteři Liberec</t>
  </si>
  <si>
    <t>Občanské sdružení NADĚJE PRO DĚTI</t>
  </si>
  <si>
    <t>Občanské sdružení Za zachování Sychrova</t>
  </si>
  <si>
    <t>"Otevřené stránky"</t>
  </si>
  <si>
    <t>Outdoor Challenge, z.s.</t>
  </si>
  <si>
    <t>Pravoslavná církevní obec v Liberci</t>
  </si>
  <si>
    <t>PROHOT, z. s.</t>
  </si>
  <si>
    <t>PSYCHOS</t>
  </si>
  <si>
    <t>PSYCHOS - FIGHTING TEAM</t>
  </si>
  <si>
    <t>PSYCHOS - klub historického šermu</t>
  </si>
  <si>
    <t>PSYCHOS - outdoor activities</t>
  </si>
  <si>
    <t>PSYCHOS - záchranný tým</t>
  </si>
  <si>
    <t>Ranč Wlkana</t>
  </si>
  <si>
    <t>Římskokatolická farnost Vratislavice nad Nisou</t>
  </si>
  <si>
    <t>S-CLUB o.s.</t>
  </si>
  <si>
    <t>Sdružení Přátel Demokracie pro její plné uplatnění v České republice</t>
  </si>
  <si>
    <t>Sdružení přátel Vratislavického pivovaru</t>
  </si>
  <si>
    <t>"Sdružení sportovců při areálu Na Rozcestí o.s."</t>
  </si>
  <si>
    <t>SebeRevolta-Liberec, z.s.</t>
  </si>
  <si>
    <t>Senioři České republiky, z. s., Základní organizace Liberec-Vratislavice nad Nisou</t>
  </si>
  <si>
    <t>SH ČMS - Sbor dobrovolných hasičů Vratislavice nad Nisou</t>
  </si>
  <si>
    <t>SK Vratislavice z.s.</t>
  </si>
  <si>
    <t>SKI KLUB 2009 - zájmové sportovní sdružení</t>
  </si>
  <si>
    <t>SkiBike Liberec</t>
  </si>
  <si>
    <t>Skupina historického šermu STILET registrovaný spolek</t>
  </si>
  <si>
    <t>Spolek Juchů</t>
  </si>
  <si>
    <t>Spolek pro výuku základů anglického jazyka pro děti z dětských domovů</t>
  </si>
  <si>
    <t>Spolek přátel historických památek Frýdlantska z.s.</t>
  </si>
  <si>
    <t>Spolek přátel umělecké školy v Liberci</t>
  </si>
  <si>
    <t>Spolek rodičů a přátel PSDM Hlásek</t>
  </si>
  <si>
    <t>Spolek SRPDŠ při Základní škole, Liberec - Vratislavice nad Nisou</t>
  </si>
  <si>
    <t>Spolek VK Liberec</t>
  </si>
  <si>
    <t>SUPERKEMP, z.s.</t>
  </si>
  <si>
    <t>TAEBO LIBEREC, z.s.</t>
  </si>
  <si>
    <t>TJ Jiskra, Vratislavice nad Nisou, spolek</t>
  </si>
  <si>
    <t>TobíkovaCesta, z.s.</t>
  </si>
  <si>
    <t>Turistický spolek seniorů z Vratislavic nad Nisou</t>
  </si>
  <si>
    <t>"Uměním pomáhat, o.s."</t>
  </si>
  <si>
    <t>Vratislavice nad Nisou, Kořenovská, o.s.</t>
  </si>
  <si>
    <t>”VW PASSAT CLUB”</t>
  </si>
  <si>
    <t>VYŠŠÍ PRINCIP</t>
  </si>
  <si>
    <t>Základní organizace Českého zahrádkářského svazu Rozkvět Liberec</t>
  </si>
  <si>
    <t>Základní organizace odborového svazu zdravotnictví a sociální péče ČR, zdravotní ústav se sídlem v Liberci</t>
  </si>
  <si>
    <t>Základní organizace Sč. VaK a.s., závod Vratislavice n. Nisou</t>
  </si>
  <si>
    <t>Základní organizace Severočeské vodovody a kanalizace, a.s. - Projekce</t>
  </si>
  <si>
    <t>ZO ČSOP 36/01 Stezka v likvidaci</t>
  </si>
  <si>
    <t>ZO NOS PPP HOLS a.s. PIVOVAR VRATISLAVICE n/N</t>
  </si>
  <si>
    <t>ZO Odborový svaz dřev.,lesního a vodního hosp. Severočeské vodovody a kanalizace a.s.</t>
  </si>
  <si>
    <t>Zpěvem společně - z.s.</t>
  </si>
  <si>
    <t>1. Squash Club Vratislavice</t>
  </si>
  <si>
    <t>Cassiopeia, o.s. v likvidaci</t>
  </si>
  <si>
    <t>Libštát</t>
  </si>
  <si>
    <t>Chalupáři Jarošov, z.s.</t>
  </si>
  <si>
    <t>Český svaz včelařů, z.s., základní organizace Libštát</t>
  </si>
  <si>
    <t>Farní sbor Českobratrské církve evangelické v Libštátě</t>
  </si>
  <si>
    <t>Myslivecký spolek Kavkázsko Libštát, z.s.</t>
  </si>
  <si>
    <t>Římskokatolická farnost Libštát</t>
  </si>
  <si>
    <t>SH ČMS - Sbor dobrovolných hasičů Libštát</t>
  </si>
  <si>
    <t>Spolek Kroužek</t>
  </si>
  <si>
    <t>Spolek rodičů a přátel školy při Masarykově základní škole Libštát, okres Semily</t>
  </si>
  <si>
    <t>"Spolek Za bezpečné přejezdy"</t>
  </si>
  <si>
    <t>Svaz diabetiků ČR, pobočný spolek Lomnice nad Popelkou</t>
  </si>
  <si>
    <t>Svaz tělesně postižených v České republice z. s. místní organizace Libštát</t>
  </si>
  <si>
    <t>Šachový klub Libštát z.s.</t>
  </si>
  <si>
    <t>Tělovýchovná jednota Jiskra Libštát z.s.</t>
  </si>
  <si>
    <t>TJ JACHTING LIBŠTÁT, Z.S.</t>
  </si>
  <si>
    <t>"Ahoj! kolektiv", z. s.</t>
  </si>
  <si>
    <t>Lomnice nad Popelkou</t>
  </si>
  <si>
    <t>AKADEMIE SPORTU LOMNICE, z. s.</t>
  </si>
  <si>
    <t>Akcička, z. s.</t>
  </si>
  <si>
    <t>Atletický klub Lomnice nad Popelkou, z.s.</t>
  </si>
  <si>
    <t>Autoklub v AČR Lomnice nad Popelkou</t>
  </si>
  <si>
    <t>Beachvolejbalový klub Lomnice nad Popelkou, z.s.</t>
  </si>
  <si>
    <t>Bemaniax v likvidaci</t>
  </si>
  <si>
    <t>Bikrosový sportovní klub Lomnice nad Popelkou PS TEAM v likvidaci</t>
  </si>
  <si>
    <t>BLNP, z.s.</t>
  </si>
  <si>
    <t>Centrum AMAVET Lomnice nad Popelkou, pobočný spolek</t>
  </si>
  <si>
    <t>COW - club of warriors o. s.v likvidaci</t>
  </si>
  <si>
    <t>Česko-vietnamské kulturní sdružení</t>
  </si>
  <si>
    <t>Český kynologický svaz ZKO Lomnice nad Popelkou - 385</t>
  </si>
  <si>
    <t>ČSS, z.s. - sportovně střelecký klub Zebín č. 785</t>
  </si>
  <si>
    <t>Disc Golf Club Lomnice z.s.</t>
  </si>
  <si>
    <t>Divadelní spolek J. K. TYL Lomnice nad Popelkou</t>
  </si>
  <si>
    <t>EXTREME GOLF CLUB KOŠOV v likvidaci</t>
  </si>
  <si>
    <t>FBC Lomnice z.s.</t>
  </si>
  <si>
    <t>FC Lomnice nad Popelkou, z.s.</t>
  </si>
  <si>
    <t>Hokejový klub Lomnice nad Popelkou, z.s.</t>
  </si>
  <si>
    <t>HONEBNÍ SPOLEČENSTVO LOMNICE NAD POPELKOU</t>
  </si>
  <si>
    <t>Houbařský spolek Lomnice nad Popelkou</t>
  </si>
  <si>
    <t>IHC LOMNICE, z. s.</t>
  </si>
  <si>
    <t>Jednota bratrská Lomnice n. P.</t>
  </si>
  <si>
    <t>Junák - český skaut, středisko Lomnice nad Popelkou, z. s.</t>
  </si>
  <si>
    <t>KČT, odbor Lomnice nad Popelkou</t>
  </si>
  <si>
    <t>Klub přátel a sponzorů Domu dětí a mládeže, z.s.</t>
  </si>
  <si>
    <t>Klub vojenské a letecké historie Rváčov - Černá v likvidaci</t>
  </si>
  <si>
    <t>Klub vojenské historie Schwarzwald, z.s.</t>
  </si>
  <si>
    <t>Koalice romských reprezentantů Libereckého kraje,z.s.</t>
  </si>
  <si>
    <t>Křesťanský sbor Lomnice nad Popelkou</t>
  </si>
  <si>
    <t>Leteckomodelářský klub p.s. - Lomnice nad Popelkou</t>
  </si>
  <si>
    <t>LOKACER, sdružení pro podporu rozvoje kultury a cestovního ruchu na Lomnicku, z.s.</t>
  </si>
  <si>
    <t>Lomnická společnost přátel ZP z.s.</t>
  </si>
  <si>
    <t>Lyžařský sportovní klub Lomnice nad Popelkou, z.s.</t>
  </si>
  <si>
    <t>Mezivrchy z.s.</t>
  </si>
  <si>
    <t>Myslivecký spolek Krakonoš Lomnice</t>
  </si>
  <si>
    <t>Náboženská obec Církve československé husitské v Lomnici nad Popelkou</t>
  </si>
  <si>
    <t>Nadační fond Petra Samohýla</t>
  </si>
  <si>
    <t>OKRAŠLOVACÍ SPOLEK VOJENSKÉ HISTORIE - LOMNICE n.Pop.</t>
  </si>
  <si>
    <t>Okrašlovací spolek železniční Lomnice nad Popelkou</t>
  </si>
  <si>
    <t>Orel jednota Lomnice n.Popelkou</t>
  </si>
  <si>
    <t>Orel župa sv.Zdislavy</t>
  </si>
  <si>
    <t>OS DLV Základní organizace MEDIT-CZ s.r.o. Lomnice nad Popelkou</t>
  </si>
  <si>
    <t>OS PRAC. ZEM. A VÝŽ. - ZO DESMO PLUS s. r. o.</t>
  </si>
  <si>
    <t>PEGAS AIR CLUB z.s.</t>
  </si>
  <si>
    <t>Ploužnický spolek</t>
  </si>
  <si>
    <t>POO OS TOK Low &amp; Bonar Czech</t>
  </si>
  <si>
    <t>Rohanské stezky, z.s.</t>
  </si>
  <si>
    <t>Římskokatolická farnost Lomnice nad Popelkou</t>
  </si>
  <si>
    <t>Římskokatolická farnost Nová Ves nad Popelkou</t>
  </si>
  <si>
    <t>Sdružení garáže, z.s.</t>
  </si>
  <si>
    <t>SDRUŽENÍ RODIČŮ A PŘÁTEL PŘI ZUŠ LOMNICE N/P v likvidaci</t>
  </si>
  <si>
    <t>SH ČMS - Sbor dobrovolných hasičů Chlum</t>
  </si>
  <si>
    <t>SH ČMS - Sbor dobrovolných hasičů Košov</t>
  </si>
  <si>
    <t>SH ČMS - Sbor dobrovolných hasičů Lomnice nad Popelkou</t>
  </si>
  <si>
    <t>SH ČMS - Sbor dobrovolných hasičů Ploužnice</t>
  </si>
  <si>
    <t>SH ČMS - Sbor dobrovolných hasičů Rváčov</t>
  </si>
  <si>
    <t>SH ČMS - Sbor dobrovolných hasičů Želechy</t>
  </si>
  <si>
    <t>Spolek Mikuláš v Lomnici n. Pop.</t>
  </si>
  <si>
    <t>SPOLEK MORCINOV 10</t>
  </si>
  <si>
    <t>Spolek pro mladé talenty</t>
  </si>
  <si>
    <t>Spolek pro záchranu továrny Mastných v Lomnici nad Popelkou</t>
  </si>
  <si>
    <t>Spolek Studio M-film, výroba videopořadů</t>
  </si>
  <si>
    <t>Činnosti v oblasti filmů, videozáznamů a televizních programů, pořizování zvukových nahrávek a hudební vydavatelské činnosti</t>
  </si>
  <si>
    <t>Svaz tělesně postižených v České republice z. s. místní organizace Lomnicko</t>
  </si>
  <si>
    <t>Šachový klub Lomnice nad Popelkou, z. s.</t>
  </si>
  <si>
    <t>TATRA VETERAN CAR CLUB SEMILY v AČR</t>
  </si>
  <si>
    <t>Tchoukball Lomnice z.s.</t>
  </si>
  <si>
    <t>Tělocvičná jednota Sokol Košov</t>
  </si>
  <si>
    <t>Tělocvičná jednota Sokol Lomnice nad Popelkou</t>
  </si>
  <si>
    <t>Tenisový klub Lomnice nad Popelkou, z.s.</t>
  </si>
  <si>
    <t>Základní organizace České zahrádkářského svazu Lomnice nad Popelkou</t>
  </si>
  <si>
    <t>ZLOM z.s.</t>
  </si>
  <si>
    <t>ZO OS KOVO TM ELITEX</t>
  </si>
  <si>
    <t>ZO OS UNIOS Technické služby Lomnice nad Popelkou</t>
  </si>
  <si>
    <t>SH ČMS - Sbor dobrovolných hasičů Loučky</t>
  </si>
  <si>
    <t>Loučky</t>
  </si>
  <si>
    <t>Tělocvičná jednota Sokol Loučky</t>
  </si>
  <si>
    <t>Modrá sova z.s.</t>
  </si>
  <si>
    <t>Loužnice</t>
  </si>
  <si>
    <t>Národně sociální vize o.s.</t>
  </si>
  <si>
    <t>SH ČMS - Sbor dobrovolných hasičů Loužnice</t>
  </si>
  <si>
    <t>SMĚR - česká cesta</t>
  </si>
  <si>
    <t>TJ Sokol Loužnice, z.s.</t>
  </si>
  <si>
    <t>FC Sparta Luka</t>
  </si>
  <si>
    <t>Luka</t>
  </si>
  <si>
    <t>Sportovní stáj MPK Týn, z.s.</t>
  </si>
  <si>
    <t>Veterinární muzeum Luka</t>
  </si>
  <si>
    <t>AUTOMOTO MUSEUM LUČANY z.s.</t>
  </si>
  <si>
    <t>Lučany nad Nisou</t>
  </si>
  <si>
    <t>Box Jablonec,z.s.</t>
  </si>
  <si>
    <t>Hasiči PP</t>
  </si>
  <si>
    <t>Koně pro Jizerské hory z.s.</t>
  </si>
  <si>
    <t>Kultura v horách, o.s.</t>
  </si>
  <si>
    <t>Lištičky z. s.</t>
  </si>
  <si>
    <t>MTB - Cyklokros Team, z.s.</t>
  </si>
  <si>
    <t>Myslivecký spolek NISA</t>
  </si>
  <si>
    <t>NON NOBIS - občanské sdružení</t>
  </si>
  <si>
    <t>"Občanské sdružení pro Jindřichov"</t>
  </si>
  <si>
    <t>o.s. Asociace Czech B.A.S.E.</t>
  </si>
  <si>
    <t>PORTUS Horní Maxov, z. s.</t>
  </si>
  <si>
    <t>PREVENTEAM o.s.</t>
  </si>
  <si>
    <t>Rodičovské Sdružení při ZŠ v Lučanech nad Nisou</t>
  </si>
  <si>
    <t>SG skicross CZ, z. s.</t>
  </si>
  <si>
    <t>SH ČMS - Sbor dobrovolných hasičů Lučany nad Nisou</t>
  </si>
  <si>
    <t>Skokanský klub Lučany nad Nisou</t>
  </si>
  <si>
    <t>Stáj Dorián</t>
  </si>
  <si>
    <t>Svaz tělesně postižených v České republice z. s. místní organizace Lučany nad Nisou</t>
  </si>
  <si>
    <t>Svobodný a samostatný zapsaný spolek Venédsko</t>
  </si>
  <si>
    <t>Tatrhy, z.s.</t>
  </si>
  <si>
    <t>Tělovýchovná jednota Lučany nad Nisou, z.s.</t>
  </si>
  <si>
    <t>TRI CLUB Jablonec, spolek</t>
  </si>
  <si>
    <t>Bikefreaks Hejnice</t>
  </si>
  <si>
    <t>Lázně Libverda</t>
  </si>
  <si>
    <t>Horský spolek Lázně Libverda</t>
  </si>
  <si>
    <t>MS Libverda</t>
  </si>
  <si>
    <t>Odborová organizace LÁZNĚ LIBVERDA, a. s.</t>
  </si>
  <si>
    <t>SH ČMS - Sbor dobrovolných hasičů Lázně Libverda</t>
  </si>
  <si>
    <t>Singltrek pod Smrkem, o.p.s.</t>
  </si>
  <si>
    <t>Provozování kulturních památek, historických staveb a obdobných turistických zajímavostí</t>
  </si>
  <si>
    <t>Sokol Lázně Libverda, z. s.</t>
  </si>
  <si>
    <t>DESIRÉ, občanské sdružení</t>
  </si>
  <si>
    <t>Líšný</t>
  </si>
  <si>
    <t>HS Malá Skála</t>
  </si>
  <si>
    <t>Motýlí louka, občanské sdružení</t>
  </si>
  <si>
    <t>Občanské sdružení Líšenská Aktivita</t>
  </si>
  <si>
    <t>SH ČMS - Sbor dobrovolných hasičů Líšný</t>
  </si>
  <si>
    <t>Tělocvičná jednota Sokol Líšný</t>
  </si>
  <si>
    <t>AUTOKLUB BOHEMIA SPORT v AČR</t>
  </si>
  <si>
    <t>Malá Skála</t>
  </si>
  <si>
    <t>Automotoklub Malá Skála, z. s.</t>
  </si>
  <si>
    <t>Balonový klub Teta Marta Malá Skála</t>
  </si>
  <si>
    <t>Český rybářský svaz, z. s., místní organizace Malá Skála</t>
  </si>
  <si>
    <t>Český svaz včelařů, z.s., základní organizace Malá Skála</t>
  </si>
  <si>
    <t>Dynamo Malá Skála, o.s.</t>
  </si>
  <si>
    <t>EDU FOR YOU, z. s.</t>
  </si>
  <si>
    <t>„Hmoždíř N-91“</t>
  </si>
  <si>
    <t>Kulturní spolek B12</t>
  </si>
  <si>
    <t>Letorost-nezávislé občanské sdružení</t>
  </si>
  <si>
    <t>Maloskalská galerie Josefa Jíry z.s.</t>
  </si>
  <si>
    <t>Maloskalské mosty, z.s.</t>
  </si>
  <si>
    <t>Maloskalsko - Společnost pro trvale udržitelný rozvoj Českého Ráje</t>
  </si>
  <si>
    <t>MA.SKA - MALOSKALSKO, z.s.</t>
  </si>
  <si>
    <t>Myslivecké sdružení Český Ráj - Malá Skála z.s.</t>
  </si>
  <si>
    <t>Nadace DHAMMADIPA</t>
  </si>
  <si>
    <t>NADACE DOLPO TULKU DHAMMADIPA</t>
  </si>
  <si>
    <t>Občanské sdružení Kulaťák, z.s.</t>
  </si>
  <si>
    <t>Občanské sdružení Vulpes Polar</t>
  </si>
  <si>
    <t>"Podvranský mlejn"</t>
  </si>
  <si>
    <t>Radioklub OK1KEL Malá Skála, pobočný spolek</t>
  </si>
  <si>
    <t>Sdružení franšízových partnerů UCB, z. s.</t>
  </si>
  <si>
    <t>SH ČMS - Okrsek Frýdštejn</t>
  </si>
  <si>
    <t>SH ČMS - Sbor dobrovolných hasičů Malá Skála</t>
  </si>
  <si>
    <t>SH ČMS - Sbor dobrovolných hasičů Mukařov</t>
  </si>
  <si>
    <t>SH ČMS - Sbor dobrovolných hasičů Sněhov</t>
  </si>
  <si>
    <t>SK Malá Skála z.s.</t>
  </si>
  <si>
    <t>Tělocvičná jednota Sokol Malá Skála</t>
  </si>
  <si>
    <t>Tělocvičná jednota Sokol Mukařov</t>
  </si>
  <si>
    <t>Tělocvičná jednota Sokol Sněhov</t>
  </si>
  <si>
    <t>Tělovýchovná jednota Sokol Malá Skála z.s.</t>
  </si>
  <si>
    <t>Tělovýchovná jednota Sokol Mukařov v likvidaci</t>
  </si>
  <si>
    <t>TVRDÁ SKÁLA</t>
  </si>
  <si>
    <t>Volejbalový klub Malá Skála, z.s.</t>
  </si>
  <si>
    <t>Za Malou Skálu krásnější</t>
  </si>
  <si>
    <t>Zahrádkáři Mukařov</t>
  </si>
  <si>
    <t>Batteo, z.s.</t>
  </si>
  <si>
    <t>Martinice v Krkonoších</t>
  </si>
  <si>
    <t>ENDURO MARTINICE - v AČR</t>
  </si>
  <si>
    <t>Myslivecký spolek Roubenka</t>
  </si>
  <si>
    <t>Odborové sdružení železničářů ZO Vrchlabsko</t>
  </si>
  <si>
    <t>SH ČMS - Sbor dobrovolných hasičů Martinice</t>
  </si>
  <si>
    <t>Spolek železniční historie Martinice v Krkonoších</t>
  </si>
  <si>
    <t>Tělocvičná jednota Sokol Martinice v Krkonoších</t>
  </si>
  <si>
    <t>Tělovýchovná jednota Sokol Martinice</t>
  </si>
  <si>
    <t>SH ČMS - Sbor dobrovolných hasičů Maršovice</t>
  </si>
  <si>
    <t>Maršovice</t>
  </si>
  <si>
    <t>Spolek pro volný čas v Maršovicích, z.s.</t>
  </si>
  <si>
    <t>Sportovní klub EcoGlass team, z.s.</t>
  </si>
  <si>
    <t>TJ Sokol Maršovice</t>
  </si>
  <si>
    <t>Asociace osob působících v oblasti zájmového chovu zvířat</t>
  </si>
  <si>
    <t>Mařenice</t>
  </si>
  <si>
    <t>Kvalitní digičas, z.s.</t>
  </si>
  <si>
    <t>Lyžařský klub - Uran</t>
  </si>
  <si>
    <t>Římskokatolická farnost Mařenice</t>
  </si>
  <si>
    <t>SH ČMS - Sbor dobrovolných hasičů Mařenice</t>
  </si>
  <si>
    <t>Ski Luž spolek</t>
  </si>
  <si>
    <t>TK Aghatea z.s.</t>
  </si>
  <si>
    <t>1.ŠVESTKOVÁ</t>
  </si>
  <si>
    <t>AMK MIMOŇ</t>
  </si>
  <si>
    <t>Mimoň</t>
  </si>
  <si>
    <t>AUTOKLUB Mimoň v AČR</t>
  </si>
  <si>
    <t>BACHTALE z.s.</t>
  </si>
  <si>
    <t>Billiard Club Český Lev Mimoň, z. s.</t>
  </si>
  <si>
    <t>BLUE DIVING CZ</t>
  </si>
  <si>
    <t>Česko-německá setkání/Deutsch-Tschechische Begegnungen, z. s.</t>
  </si>
  <si>
    <t>Český kynologický svaz ZKO Mimoň - 455</t>
  </si>
  <si>
    <t>Český rybářský svaz, z. s., místní organizace Mimoň</t>
  </si>
  <si>
    <t>Český svaz včelařů, z.s., základní organizace Doksy</t>
  </si>
  <si>
    <t>Dětské centrum Delfínek, z.s.</t>
  </si>
  <si>
    <t>Divadelní ochotnický soubor "NO CO CO", z.s. "v likvidaci"</t>
  </si>
  <si>
    <t>EUROTALENT</t>
  </si>
  <si>
    <t>Fbc Sršni Ralsko, z.s.</t>
  </si>
  <si>
    <t>Honební společenstvo Pertoltice pod Ralskem</t>
  </si>
  <si>
    <t>HRAD RALSKO o.s.</t>
  </si>
  <si>
    <t>Jezdecký a dostihový spolek Mimoň</t>
  </si>
  <si>
    <t>Junák - český skaut, přístav Ralsko Mimoň, z. s.</t>
  </si>
  <si>
    <t>Křídla vážky, o. s.</t>
  </si>
  <si>
    <t>Kynologický spolek Kladníky v likvidaci</t>
  </si>
  <si>
    <t>Kynologický spolek loveckých psů okresu Česká Lípa</t>
  </si>
  <si>
    <t>LAMPA, z. s.</t>
  </si>
  <si>
    <t>MEANDRY PLOUČNICE, z. s.</t>
  </si>
  <si>
    <t>mini czech - mini ČR</t>
  </si>
  <si>
    <t>Minikárklub Mimoň v AČR</t>
  </si>
  <si>
    <t>MS Lasvice</t>
  </si>
  <si>
    <t>MS Mimoň-Pertoltice</t>
  </si>
  <si>
    <t>Myslivecké občanské sdružení "TON"</t>
  </si>
  <si>
    <t>Náboženská obec Církve československé husitské v Mimoni</t>
  </si>
  <si>
    <t>„Občané proti nepravdivým informacím při prodeji léků a doplňků stravy - OBRAN”</t>
  </si>
  <si>
    <t>Občanské sdružení CHACO CHECO</t>
  </si>
  <si>
    <t>Off road -Mimoň, o.s.</t>
  </si>
  <si>
    <t>Oficiální Fan klub skupiny Olympic v Mimoni</t>
  </si>
  <si>
    <t>Organizační výbor Mistrovství světa 2018 při Hráčské asociaci logických her a sudoku, z. s.</t>
  </si>
  <si>
    <t>Plavecký klub Stráž pod Ralskem, z.s.</t>
  </si>
  <si>
    <t>PODNIKOVÁ ORGANIZACE ČESKOMORAVSKÉHO ODBOROVÉHO SVAZU CIVILNÍCH ZAMĚSTNANCŮ ARMÁDY VOJENSKÉ LESY A STATKY ČR</t>
  </si>
  <si>
    <t>POO OS TOK MITOP</t>
  </si>
  <si>
    <t>Přátelé přírody, z. s. - skupina Liberec</t>
  </si>
  <si>
    <t>Římskokatolická farnost Brniště</t>
  </si>
  <si>
    <t>Římskokatolická farnost Dubnice</t>
  </si>
  <si>
    <t>Římskokatolická farnost Jablonec u Mimoně</t>
  </si>
  <si>
    <t>Římskokatolická farnost Kuřívody</t>
  </si>
  <si>
    <t>Římskokatolická farnost Mimoň</t>
  </si>
  <si>
    <t>Římskokatolická farnost Stráž pod Ralskem</t>
  </si>
  <si>
    <t>Římskokatolická farnost Svébořice</t>
  </si>
  <si>
    <t>Sdružení nájemníků Letná - Mimoň - spolek v likvidaci</t>
  </si>
  <si>
    <t>SH ČMS - Sbor dobrovolných hasičů Mimoň</t>
  </si>
  <si>
    <t>Shotokan sport centrum Mimoň z.s.</t>
  </si>
  <si>
    <t>SK Vydrýsek</t>
  </si>
  <si>
    <t>Skiareál Podralsko, o. s.</t>
  </si>
  <si>
    <t>Spolek historie Mimoňska</t>
  </si>
  <si>
    <t>Spolek přátel historie a kultury Mimoně</t>
  </si>
  <si>
    <t>Spolek rodičů a přátel školy při ZŠ a MŠ Mírová 81, Mimoň</t>
  </si>
  <si>
    <t>Sport Mimoň, z.s.</t>
  </si>
  <si>
    <t>Sportovní klub Mimoň</t>
  </si>
  <si>
    <t>SRPŠ při ZUŠ Václava Snítila v Mimoni</t>
  </si>
  <si>
    <t>Svaz tělesně postižených v České republice z. s. místní organizace Mimoň</t>
  </si>
  <si>
    <t>ŠOTOKAN KARATE MIMOŇ</t>
  </si>
  <si>
    <t>Tělovýchovná jednota Jiskra Mimoň, z.s.</t>
  </si>
  <si>
    <t>Tenisový klub Mimoň</t>
  </si>
  <si>
    <t>Tenisový Klub Mimoň - Letná</t>
  </si>
  <si>
    <t>T.J. TK Mimoň</t>
  </si>
  <si>
    <t>Tour de Ralsko, spolek</t>
  </si>
  <si>
    <t>Unie rodičů Gymnázia Mimoň z.s.</t>
  </si>
  <si>
    <t>"Yacht club Mimoň, o.s."</t>
  </si>
  <si>
    <t>Základní organizace Českého zahrádkářského svazu Mimoň č.3</t>
  </si>
  <si>
    <t>Základní organizace Českého zahrádkářského svazu Mimoň č.4</t>
  </si>
  <si>
    <t>Základní organizace Českého zahrádkářského svazu Mimoň 1</t>
  </si>
  <si>
    <t>Základní organizace ZŠ a MŠ , Mírová 81, Mimoň</t>
  </si>
  <si>
    <t>Zpěvandule z.s.</t>
  </si>
  <si>
    <t>Zumba o.s. - Mimoň</t>
  </si>
  <si>
    <t>32/04 ZO ČSOP Gaia</t>
  </si>
  <si>
    <t>Asociace TOM ČR, 20511 Cipísek</t>
  </si>
  <si>
    <t>Mníšek</t>
  </si>
  <si>
    <t>BRT RALLY TEAM, z.s.</t>
  </si>
  <si>
    <t>CLUB SIN DOLOR, v likvidaci</t>
  </si>
  <si>
    <t>Českomoravský odborový svaz pracovníků školství základní organizace Základní škola Mníšek</t>
  </si>
  <si>
    <t>"EKOLOGICKÝ CHOV"</t>
  </si>
  <si>
    <t>FK Mníšek, z.s.</t>
  </si>
  <si>
    <t>Honební společenstvo Liberec - Radčice</t>
  </si>
  <si>
    <t>Honební společenstvo Mníšek</t>
  </si>
  <si>
    <t>Honební společenstvo Višňová - Loučná</t>
  </si>
  <si>
    <t>JPM foundation, nadační fond</t>
  </si>
  <si>
    <t>Klondike Dětem, z.s.</t>
  </si>
  <si>
    <t>Klub českých turistů Mníšek u Liberce, spolek</t>
  </si>
  <si>
    <t>Lesní klub Rašovka, z.s.</t>
  </si>
  <si>
    <t>Myslivecký spolek Kateřinky</t>
  </si>
  <si>
    <t>Myslivecký spolek Mníšek</t>
  </si>
  <si>
    <t>Občanské sdružení pro zvelebení Fojtky</t>
  </si>
  <si>
    <t>Občanské sdružení pro zvelebení kostela sv.Mikuláše v Mníšku</t>
  </si>
  <si>
    <t>RHRmotorsport z.s.</t>
  </si>
  <si>
    <t>SH ČMS - Sbor dobrovolných hasičů Mníšek</t>
  </si>
  <si>
    <t>Spolek Fojtecký Drak</t>
  </si>
  <si>
    <t>Spolek Fojtka</t>
  </si>
  <si>
    <t>Sportovní agentura POBI, z.s.</t>
  </si>
  <si>
    <t>Sportovní klub OKIRO Mníšek u Liberce</t>
  </si>
  <si>
    <t>ZVONEK, z. s.</t>
  </si>
  <si>
    <t>Jezdecký klub Modřišice, z.s.</t>
  </si>
  <si>
    <t>Modřišice</t>
  </si>
  <si>
    <t>SH ČMS - Sbor dobrovolných hasičů Modřišice</t>
  </si>
  <si>
    <t>SH ČMS - Sbor dobrovolných hasičů Podháj</t>
  </si>
  <si>
    <t>Spolek roubenkářů JANATE, z.s.</t>
  </si>
  <si>
    <t>Buď, z.s.</t>
  </si>
  <si>
    <t>Mírová pod Kozákovem</t>
  </si>
  <si>
    <t>„Dairius”</t>
  </si>
  <si>
    <t>HONEBNÍ SPOLEČENSTVO MÍROVÁ POD KOZÁKOVEM</t>
  </si>
  <si>
    <t>Honební společenstvo Mírová pod Kozákovem, Bělá, Sekerkovy Loučky</t>
  </si>
  <si>
    <t>MAS Achát z.s.</t>
  </si>
  <si>
    <t>MS Černý háj Mírová pod Kozákovem, z.s.</t>
  </si>
  <si>
    <t>POVL, z.ú.</t>
  </si>
  <si>
    <t>Sdružení na ochranu vlastníků pozemků v CHKO Český ráj v likvidaci</t>
  </si>
  <si>
    <t>SH ČMS - Sbor dobrovolných hasičů Bělá</t>
  </si>
  <si>
    <t>SH ČMS - Sbor dobrovolných hasičů Chutnovka</t>
  </si>
  <si>
    <t>SH ČMS - Sbor dobrovolných hasičů Loktuše</t>
  </si>
  <si>
    <t>SH ČMS - Sbor dobrovolných hasičů Smrčí u Turnova</t>
  </si>
  <si>
    <t>SK Mírová pod Kozákovem, spolek</t>
  </si>
  <si>
    <t>Spolek EEF</t>
  </si>
  <si>
    <t>Spolek LOKOS</t>
  </si>
  <si>
    <t>Spolek nejen holek, z.s.</t>
  </si>
  <si>
    <t>Spolek přátel prackovské kapličky</t>
  </si>
  <si>
    <t>Tělovýchovná jednota Sokol Vesec, z.s.</t>
  </si>
  <si>
    <t>TJ Sokol Bělá u Turnova, z.s.</t>
  </si>
  <si>
    <t>Turnovský radioklub, z.s.</t>
  </si>
  <si>
    <t>ZO OS KOVO Neumatic Turnov</t>
  </si>
  <si>
    <t>Cirkus Jilemnice - Spolek pro živou kulturu</t>
  </si>
  <si>
    <t>Mříčná</t>
  </si>
  <si>
    <t>HONEBNÍ SPOLEČENSTVO MŘÍČNÁ-PEŘIMOV</t>
  </si>
  <si>
    <t>Římskokatolická farnost Mříčná</t>
  </si>
  <si>
    <t>SH ČMS - Sbor dobrovolných hasičů Mříčná</t>
  </si>
  <si>
    <t>SPOLEČENSTVÍ EMERITNÍCH MŘÍČENSKÝCH SPORTOVNÍKŮ A JEJICH PŘÁTEL, z.s.</t>
  </si>
  <si>
    <t>Svaz diabetiků ČR, pobočný spolek Jilemnice</t>
  </si>
  <si>
    <t>Tělovýchovná jednota SOKOL Mříčná spolek</t>
  </si>
  <si>
    <t>Klub seniorů Noviny pod Ralskem, z. s.</t>
  </si>
  <si>
    <t>Noviny pod Ralskem</t>
  </si>
  <si>
    <t>Myslivecké sdružení LIPKA</t>
  </si>
  <si>
    <t>Noviňáci z.s.</t>
  </si>
  <si>
    <t>Občanské sdružení PROOBEC</t>
  </si>
  <si>
    <t>TJ Noviny z.s.</t>
  </si>
  <si>
    <t>ACHPAK ČR - Asociace chovatelů plnokrevných arabských koní České republiky, z.s.</t>
  </si>
  <si>
    <t>Nová Ves</t>
  </si>
  <si>
    <t>Celia-život bez lepku o.p.s.</t>
  </si>
  <si>
    <t>Fotbalový klub Nová Ves, z.s.</t>
  </si>
  <si>
    <t>Myslivecký spolek "Mlýnice" - Nová Ves</t>
  </si>
  <si>
    <t>Nová Ves Žije, z.s.</t>
  </si>
  <si>
    <t>Romské sdružení Nová Ves</t>
  </si>
  <si>
    <t>Rybářský spolek Makohyn</t>
  </si>
  <si>
    <t>SH ČMS - Sbor dobrovolných hasičů Nová Ves</t>
  </si>
  <si>
    <t>Spolek přátel Nové Vsi, z.s.</t>
  </si>
  <si>
    <t>Tělocvičná jednota Sokol Nová Ves u Chrastavy</t>
  </si>
  <si>
    <t>Klub HCS, z.s.</t>
  </si>
  <si>
    <t>Nová Ves nad Nisou</t>
  </si>
  <si>
    <t>Klub vojenské historie SAHARA</t>
  </si>
  <si>
    <t>Motoinstruktoři z.s.</t>
  </si>
  <si>
    <t>Novoveský okrašlovací spolek</t>
  </si>
  <si>
    <t>Občanské sdružení Nová Ves nad Nisou</t>
  </si>
  <si>
    <t>SH ČMS - Sbor dobrovolných hasičů Nová Ves nad Nisou</t>
  </si>
  <si>
    <t>Spolek pro skřítky z.s.</t>
  </si>
  <si>
    <t>Spolek pro volný čas NOVOVESAN</t>
  </si>
  <si>
    <t>SPOLEK RODIČŮ ZŠ A MŠ NOVÁ VES NAD NISOU</t>
  </si>
  <si>
    <t>T.J. VESKO Nová Ves nad Nisou z.s.</t>
  </si>
  <si>
    <t>"Centrum Tábor, z.s."</t>
  </si>
  <si>
    <t>Nová Ves nad Popelkou</t>
  </si>
  <si>
    <t>Český svaz chovatelů, z.s., Základní organizace Lomnice nad Popelkou</t>
  </si>
  <si>
    <t>HONEBNÍ SPOLEČENSTVO NOVÁ VES NAD POPELKOU</t>
  </si>
  <si>
    <t>MDDH Svišť, z.s.</t>
  </si>
  <si>
    <t>Myslivecký spolek Nová Ves nad Popelkou</t>
  </si>
  <si>
    <t>Nadace Tábor</t>
  </si>
  <si>
    <t>Přemysl - spolek pro biodynamické zemědělství</t>
  </si>
  <si>
    <t>SH ČMS - Sbor dobrovolných hasičů Nová Ves nad Popelkou</t>
  </si>
  <si>
    <t>Sociální atelier Tilia, z.s.</t>
  </si>
  <si>
    <t>Spolek pro udržení venkovských tradic - spolek sv. Václava</t>
  </si>
  <si>
    <t>Spolek pro umění a řemeslo</t>
  </si>
  <si>
    <t>Spolek pro vznik vlastní školy 2. stupně v návaznosti na 1. stupeň ZŠ Nová Ves nad Popelkou</t>
  </si>
  <si>
    <t>Spolek pro založení Zemědělské školy MUDr. Kampelíka v likvidaci</t>
  </si>
  <si>
    <t>TJ Sokol Nová Ves nad Popelkou, z.s.</t>
  </si>
  <si>
    <t>Zlatobýl, z. s.</t>
  </si>
  <si>
    <t>Živé stromy</t>
  </si>
  <si>
    <t>AFK Nové Město pod Smrkem z. s.</t>
  </si>
  <si>
    <t>Nové Město pod Smrkem</t>
  </si>
  <si>
    <t>"Bez rozdílu"</t>
  </si>
  <si>
    <t>Český kynologický svaz ZKO Hajniště - 527</t>
  </si>
  <si>
    <t>Český svaz včelařů, z.s., základní organizace Nové Město pod Smrkem</t>
  </si>
  <si>
    <t>Farní sbor Českobratrské církve evangelické v Novém Městě pod Smrkem</t>
  </si>
  <si>
    <t>FRYYFEST z.s.</t>
  </si>
  <si>
    <t>Honební společenstvo Dolní Řasnice</t>
  </si>
  <si>
    <t>Klub českých turistů, odbor Nové Město pod Smrkem</t>
  </si>
  <si>
    <t>"Ludvík o.s."</t>
  </si>
  <si>
    <t>Maják NMPS, z. ú.</t>
  </si>
  <si>
    <t>Mateřské centrum-MAMIKLUB Nové Město pod Smrkem</t>
  </si>
  <si>
    <t>Myslivecké sdružení ŽULOVÝ VRCH, o.s.</t>
  </si>
  <si>
    <t>Myslivecký spolek Závorník</t>
  </si>
  <si>
    <t>Nadační fond Novoměšťáček</t>
  </si>
  <si>
    <t>NOVOMĚSTSKÝ JACHT KLUB</t>
  </si>
  <si>
    <t>Občanské sdružení Betsaida</t>
  </si>
  <si>
    <t>Občanské sdružení Školička o.s.</t>
  </si>
  <si>
    <t>Okrašlovací spolek Nové Město pod Smrkem</t>
  </si>
  <si>
    <t>OUTDOORGAME z.s.</t>
  </si>
  <si>
    <t>RAF - romští aktivisté Frýdlantsko, z. s.</t>
  </si>
  <si>
    <t>Rodinné centrum Korálek z.s.</t>
  </si>
  <si>
    <t>Římskokatolická farnost Jindřichovice pod Smrkem</t>
  </si>
  <si>
    <t>Římskokatolická farnost Krásný Les (u Liberce)</t>
  </si>
  <si>
    <t>Římskokatolická farnost Nové Město pod Smrkem</t>
  </si>
  <si>
    <t>Sbor Jednoty bratrské v Novém Městě pod Smrkem</t>
  </si>
  <si>
    <t>Sbor Jednoty bratrské v Novém Městě pod Smrkem - Nevo Dživipen</t>
  </si>
  <si>
    <t>SENIOR KLUB Nové Město pod Smrkem</t>
  </si>
  <si>
    <t>SH ČMS - Sbor dobrovolných hasičů Ludvíkov pod Smrkem</t>
  </si>
  <si>
    <t>SH ČMS - Sbor dobrovolných hasičů Nové Město pod Smrkem</t>
  </si>
  <si>
    <t>SH ČMS - Sbor dobrovolných hasičů Textilana Nové Město pod Smrkem</t>
  </si>
  <si>
    <t>Singltrek Klub z.s.</t>
  </si>
  <si>
    <t>"Společenství CiS"</t>
  </si>
  <si>
    <t>Spolek na záchranu kostela sv. Petra a Pavla v Ludvíkově pod Smrkem, z.s.</t>
  </si>
  <si>
    <t>Spolek pod Smrkem z.s.</t>
  </si>
  <si>
    <t>Spolek pro seniory Červánek</t>
  </si>
  <si>
    <t>Spolek šipkařů Nové Město pod Smrkem, z.s.</t>
  </si>
  <si>
    <t>Sportovní stáj Ludvíkov, z. s.</t>
  </si>
  <si>
    <t>Správa stezek SpS, z. s.</t>
  </si>
  <si>
    <t>The Life Factory z.ú.</t>
  </si>
  <si>
    <t>TJ Nové Město pod Smrkem</t>
  </si>
  <si>
    <t>Vasta</t>
  </si>
  <si>
    <t>Zahrádky Pod Spálenkou, z. s.</t>
  </si>
  <si>
    <t>Základní organizace Českého zahrádkářského svazu č.1. Nové Město pod Smrkem</t>
  </si>
  <si>
    <t>Základní organizace Českého zahrádkářského svazu č.4. Nové Město pod Smrkem</t>
  </si>
  <si>
    <t>Základní organizace OS SOO Městský úřad</t>
  </si>
  <si>
    <t>ARIMINUM</t>
  </si>
  <si>
    <t>Nový Bor</t>
  </si>
  <si>
    <t>”ArtMikádo“</t>
  </si>
  <si>
    <t>Asociace TOM, ČR, TOM 20510 Rytíři ze Sloupu</t>
  </si>
  <si>
    <t>Autoklub Nový Bor v AČR</t>
  </si>
  <si>
    <t>"AUTO-MOTO Sport Vesecký o.s."</t>
  </si>
  <si>
    <t>BC AJETO Nový Bor, z.s.</t>
  </si>
  <si>
    <t>"Berkana, o.s."</t>
  </si>
  <si>
    <t>Bestsphynx z. s.</t>
  </si>
  <si>
    <t>Boletus, z.s.</t>
  </si>
  <si>
    <t>BOR pro SPORT o.s.</t>
  </si>
  <si>
    <t>Cage Grappling z. s.</t>
  </si>
  <si>
    <t>Cech novoborských sklářů, o.s.</t>
  </si>
  <si>
    <t>Cyklo team SIX NUMBERS</t>
  </si>
  <si>
    <t>Česko - Romské občanské sdružení</t>
  </si>
  <si>
    <t>Česko-německé sdružení podkovářů</t>
  </si>
  <si>
    <t>Český kynologický svaz zko Nový Bor - Janov - 728</t>
  </si>
  <si>
    <t>Český kynologický svaz ZKO Nový Bor - 503</t>
  </si>
  <si>
    <t>Český rybářský svaz, z. s., místní organizace Nový Bor</t>
  </si>
  <si>
    <t>Český svaz chovatelů, z.s., Základní organizace Pihel</t>
  </si>
  <si>
    <t>ČSS, z.s. - sportovně střelecký klub PRO-TARGET</t>
  </si>
  <si>
    <t>Dětský klub Myšata, z. s.</t>
  </si>
  <si>
    <t>Divadelní spolek Hrubín</t>
  </si>
  <si>
    <t>Dogs For Detection And Protection Academy z.s.</t>
  </si>
  <si>
    <t>FC Nový Bor, z.s.</t>
  </si>
  <si>
    <t>FENIX 21 z.s.</t>
  </si>
  <si>
    <t>"FK Yankees Warriors Nový Bor o.s."</t>
  </si>
  <si>
    <t>Forum Novoborska o.s.</t>
  </si>
  <si>
    <t>Fotbalový klub ADRIA Nový Bor</t>
  </si>
  <si>
    <t>Gesou z.s.</t>
  </si>
  <si>
    <t>Global 4 Fit z.s.</t>
  </si>
  <si>
    <t>GlobalFit, z. s.</t>
  </si>
  <si>
    <t>GOLF CLUB ČESKÁ LÍPA z.s.</t>
  </si>
  <si>
    <t>Happy Smile Liberec, z.s.</t>
  </si>
  <si>
    <t>HO Skaláci Česká Lípa, z. s.</t>
  </si>
  <si>
    <t>JEHLIČÍ</t>
  </si>
  <si>
    <t>JLV MOTORSPORT V AĆR v likvidaci</t>
  </si>
  <si>
    <t>Junák - český skaut, středisko Klíč Nový Bor, z. s.</t>
  </si>
  <si>
    <t>KAMENEC</t>
  </si>
  <si>
    <t>Karate Klub Novoborci z.s.</t>
  </si>
  <si>
    <t>KČT, odbor Nový Bor z.s.</t>
  </si>
  <si>
    <t>Kiwanis klub Klíč</t>
  </si>
  <si>
    <t>Klub pro alergiky o.p.s.</t>
  </si>
  <si>
    <t>Klub thajského boxu a kick boxu Liberty Gym</t>
  </si>
  <si>
    <t>Křišťálový klíč, z.s.</t>
  </si>
  <si>
    <t>"Liberecký elitní klub o.s."</t>
  </si>
  <si>
    <t>Liberecký krajský svaz ČSOS</t>
  </si>
  <si>
    <t>LUŽ</t>
  </si>
  <si>
    <t>Lužický horský spolek</t>
  </si>
  <si>
    <t>MAYA KLUB, z.s.</t>
  </si>
  <si>
    <t>MEZINÁRODNÍ HUDEBNÍ FESTIVAL „SJEZD SWINGAŘŮ“</t>
  </si>
  <si>
    <t>MINIFARMA Sloup, z.s.</t>
  </si>
  <si>
    <t>Místní akční skupina Novoborska, občanské sdružení</t>
  </si>
  <si>
    <t>MOTORSPORT RACING KLUB V AČR</t>
  </si>
  <si>
    <t>Myslivecký spolek Klíč</t>
  </si>
  <si>
    <t>Myslivecký spolek Radvanec, z.s.</t>
  </si>
  <si>
    <t>Myslivecký spolek Zelený vrch</t>
  </si>
  <si>
    <t>Náboženská obec Církve československé husitské v Novém Boru</t>
  </si>
  <si>
    <t>Napište Nám, o.s.</t>
  </si>
  <si>
    <t>Náš Janov</t>
  </si>
  <si>
    <t>"Nová naděje - nadační fond"</t>
  </si>
  <si>
    <t>Novoborské dotační centrum z.s.</t>
  </si>
  <si>
    <t>Novoborské mažoretky, z. s.</t>
  </si>
  <si>
    <t>Obč.sdružení pro výstavbu krytého plaveckého bazénu v Novém Boru</t>
  </si>
  <si>
    <t>Odborová organizace zaměstnanců firmy EGERMANN, s.r.o.</t>
  </si>
  <si>
    <t>Odborový svaz skla, keramiky a porcelánu, Základní organizace Crystalex CZ, s.r.o.</t>
  </si>
  <si>
    <t>Odborový svaz skla, keramiky a porcelánu, Základní organizace VOŠS a SŠ, v likvidaci</t>
  </si>
  <si>
    <t>Odborový svaz Stavba ČR MO Česká Lípa- V LIKVIDACI</t>
  </si>
  <si>
    <t>OK JISKRA NOVÝ BOR, z.s.</t>
  </si>
  <si>
    <t>OPTIMIK</t>
  </si>
  <si>
    <t>Pěvecký sbor CONCENTUS</t>
  </si>
  <si>
    <t>Preciosa Bike Team, o. s.</t>
  </si>
  <si>
    <t>První novoborský OFF - ROAD CLUB</t>
  </si>
  <si>
    <t>Pyrus, z.s.</t>
  </si>
  <si>
    <t>Revma Liga Česká republika, klub Česká Lípa v likvidaci</t>
  </si>
  <si>
    <t>Rodina v centru, z.ú.</t>
  </si>
  <si>
    <t>Romská hospodářská rada ČR</t>
  </si>
  <si>
    <t>ROZTLESKÁVAČKY ČESKÁ KAMENICE, z.s.</t>
  </si>
  <si>
    <t>R2R o. s.</t>
  </si>
  <si>
    <t>Římskokatolická farnost - děkanství Nový Bor</t>
  </si>
  <si>
    <t>Římskokatolická farnost Polevsko</t>
  </si>
  <si>
    <t>Římskokatolická farnost Skalice</t>
  </si>
  <si>
    <t>Římskokatolická farnost Sloup v Čechách</t>
  </si>
  <si>
    <t>Sdružení nájemníků Husova 750-751 Nový Bor</t>
  </si>
  <si>
    <t>Sdružení nájemníků obytného domu, Skalická ul. 732, Nový Bor</t>
  </si>
  <si>
    <t>Developerská činnost</t>
  </si>
  <si>
    <t>Sdružení nájemníků Sadová 744 - 745, Nový Bor</t>
  </si>
  <si>
    <t>Sdružení rodičů a přátel dětí Základní školy nám.Míru, Nový Bor</t>
  </si>
  <si>
    <t>Sdružení rodičů pracující s dětmi při ZŠ náměstí Míru, Nový Bor</t>
  </si>
  <si>
    <t>Sdružení rodičů, přátel a žáků Středního odborného učiliště, Odborného učiliště a Učiliště sklářského v Novém Boru</t>
  </si>
  <si>
    <t>Sdružení rodičů při ZŠ U Lesa Nový Bor, z. s.</t>
  </si>
  <si>
    <t>Senioři České republiky, z. s., Základní organizace Nový Bor</t>
  </si>
  <si>
    <t>SH ČMS - Sbor dobrovolných hasičů Nový Bor</t>
  </si>
  <si>
    <t>Shotokan Sport Centrum Nový Bor z.s.</t>
  </si>
  <si>
    <t>SK Družba Bukovany z. s.</t>
  </si>
  <si>
    <t>SK METALPOWER NOVÝ BOR z.s.</t>
  </si>
  <si>
    <t>SKI CLUB HAIDA</t>
  </si>
  <si>
    <t>SKIKLUB PRÁCHEŇ, z.s.</t>
  </si>
  <si>
    <t>Společenstvo sklářů</t>
  </si>
  <si>
    <t>Společnost pro obnovení pomníku Rumburských hrdinů v Novém Boru</t>
  </si>
  <si>
    <t>Spolek Black Shadow</t>
  </si>
  <si>
    <t>Spolek Boráci Borákům</t>
  </si>
  <si>
    <t>Spolek CAMELLA - NBP,  Nový Bor</t>
  </si>
  <si>
    <t>Spolek Horní Pihel</t>
  </si>
  <si>
    <t>Spolek Hřebenka sever</t>
  </si>
  <si>
    <t>Spolek Janov</t>
  </si>
  <si>
    <t>spolek PAMPELIŠKA Nový Bor</t>
  </si>
  <si>
    <t>Spolek pro Pihel</t>
  </si>
  <si>
    <t>Spolek přátel ČK</t>
  </si>
  <si>
    <t>Spravedlivý mezi seniory o.p.s.</t>
  </si>
  <si>
    <t>Studijní centrum BASIC - Česká Lípa, z.s.</t>
  </si>
  <si>
    <t>Studijní centrum BASIC - Liberec, z.s.</t>
  </si>
  <si>
    <t>Svaz postižených civilizačními chorobami v ČR , z.s.základní organizace Nový Bor</t>
  </si>
  <si>
    <t>Svaz postižených civilizačními chorobami v ČR, z.s., Okresní organizace Česká Lípa</t>
  </si>
  <si>
    <t>Svaz pro obnovu stavebních památek</t>
  </si>
  <si>
    <t>Šeptet Voices</t>
  </si>
  <si>
    <t>Taneční klub Boráček, z.s.</t>
  </si>
  <si>
    <t>Taneční klub Sever z.s.</t>
  </si>
  <si>
    <t>Tělovýchovná jednota Jiskra Nový Bor, z.s.</t>
  </si>
  <si>
    <t>Tělovýchovná jednota Stadion Nový Bor, z.s.</t>
  </si>
  <si>
    <t>tetaPerla.cz, zapsaný spolek</t>
  </si>
  <si>
    <t>TJ Bohemia Crystal Tour Nový Bor</t>
  </si>
  <si>
    <t>TJ Bohemie Nový Bor, z.s.</t>
  </si>
  <si>
    <t>Unie ROSKA - reg. org. ROSKA ČESKÁ LÍPA, z.p.s.</t>
  </si>
  <si>
    <t>Velký vůz Sever</t>
  </si>
  <si>
    <t>Velký vůz Sever - poradenské a vzdělávací centrum, z.ú.</t>
  </si>
  <si>
    <t>WESTERN STYLE CLUB Nový Bor</t>
  </si>
  <si>
    <t>"Za lepší kraj o.s."</t>
  </si>
  <si>
    <t>Základní odborová organizace při SOU, OU a Učilišti sklářském</t>
  </si>
  <si>
    <t>Základní organizace Českého zahrádkářského svazu Hřebenka 1 Nový Bor</t>
  </si>
  <si>
    <t>Základní organizace Českého zahrádkářského svazu Nový Bor  Arnultovice</t>
  </si>
  <si>
    <t>Základní organizace odborového svazu státních orgánů a organizací při Úřadu práce České republiky, Kontaktní pracoviště Nový Bor</t>
  </si>
  <si>
    <t>Základní organizace OS ZPTNS - Obvod Nový Bor</t>
  </si>
  <si>
    <t>"Zelené domy o.s."</t>
  </si>
  <si>
    <t>ZO ČSOP Meles</t>
  </si>
  <si>
    <t>ZO OS DLV DS SMITH PACKANGING CZECH REPUBLIC, s.r.o.</t>
  </si>
  <si>
    <t>ZO OS SOaO při Městském úřadu v Novém Boru</t>
  </si>
  <si>
    <t>1. Novoborský šachový klub, z.s.</t>
  </si>
  <si>
    <t>Budoshinkai International z.s.</t>
  </si>
  <si>
    <t>Nový Oldřichov</t>
  </si>
  <si>
    <t>Klub dobré pohody Nový Oldřichov, z.s.</t>
  </si>
  <si>
    <t>Ochotnický spolek Lípa - OSLI z.s.</t>
  </si>
  <si>
    <t>Paintball klub Dubice</t>
  </si>
  <si>
    <t>SH ČMS - Sbor dobrovolných hasičů Nový Oldřichov</t>
  </si>
  <si>
    <t>Tělovýchovná jednota Jiskra Nový Oldřichov, spolek</t>
  </si>
  <si>
    <t>Unie rodičů a přátel školy Nový Oldřichov,  z. s.</t>
  </si>
  <si>
    <t>Area 51 trails z.s.</t>
  </si>
  <si>
    <t>Ohrazenice</t>
  </si>
  <si>
    <t>Asociace regionalistů z.s.</t>
  </si>
  <si>
    <t>Česká numismatická společnost, z.s. pobočka v Turnově</t>
  </si>
  <si>
    <t>Společnost bloumající veřejnosti, z.s.</t>
  </si>
  <si>
    <t>TJ SOKOL OHRAZENICE, z. s.</t>
  </si>
  <si>
    <t>Základní organizace Českého zahrádkářského svazu Ohrazenice</t>
  </si>
  <si>
    <t>Liga ekologických alternativ</t>
  </si>
  <si>
    <t>Okna</t>
  </si>
  <si>
    <t>Myslivecké sdružení Valdštýnská enkláva, z.s.</t>
  </si>
  <si>
    <t>Pěvecký sbor Babíny di Doksy,z.s.</t>
  </si>
  <si>
    <t>Spolek rodičů a přátel ZŠ, MŠ a LMŠ Okna</t>
  </si>
  <si>
    <t>TJ Okna, z.s.</t>
  </si>
  <si>
    <t>Zelená hvězda</t>
  </si>
  <si>
    <t>Český svaz včelařů, z.s., základní organizace Nový Bor</t>
  </si>
  <si>
    <t>Okrouhlá</t>
  </si>
  <si>
    <t>Divadelní spolek HRAjeto Okrouhlá</t>
  </si>
  <si>
    <t>Mladí SLK z. s.</t>
  </si>
  <si>
    <t>MOTOKROS KLUB AČR OKROUHLÁ v likvidaci</t>
  </si>
  <si>
    <t>Okrouhláci z. s.</t>
  </si>
  <si>
    <t>Orel jednota Okrouhlá</t>
  </si>
  <si>
    <t>Outdoor sports Okrouhlá</t>
  </si>
  <si>
    <t>Purple Endurance Team</t>
  </si>
  <si>
    <t>Rozvojové centrum Slunečnice, občanské sdružení</t>
  </si>
  <si>
    <t>RSK Tubertini Česká Lípa z.s.</t>
  </si>
  <si>
    <t>SK Okrouhlá</t>
  </si>
  <si>
    <t>Vedlejší kolej z.s.</t>
  </si>
  <si>
    <t>Basketbalový klub Kondoři Liberec, z.s.</t>
  </si>
  <si>
    <t>Oldřichov v Hájích</t>
  </si>
  <si>
    <t>Ekocentrum Oldřichov v Hájích, z. ú.</t>
  </si>
  <si>
    <t>Jeřice, občanské sdružení, v likvidaci</t>
  </si>
  <si>
    <t>Krajina návratů, z.s.</t>
  </si>
  <si>
    <t>MS Oldřichov v Hájích</t>
  </si>
  <si>
    <t>Paintball Klub Oldřichov v Hájích o.s.</t>
  </si>
  <si>
    <t>RC Buggy Team o.s.</t>
  </si>
  <si>
    <t>SH ČMS - Sbor dobrovolných hasičů Oldřichov v Hájích</t>
  </si>
  <si>
    <t>Suchopýr z.ú.</t>
  </si>
  <si>
    <t>Tělovýchovná jednota Sokol Oldřichov v Hájích, zapsaný spolek</t>
  </si>
  <si>
    <t>XML Prague, z. s.</t>
  </si>
  <si>
    <t>Činnosti související se zpracováním dat a hostingem</t>
  </si>
  <si>
    <t>Živo v Hájích z.s.</t>
  </si>
  <si>
    <t>Jezdecký klub Casiopea, z. s.</t>
  </si>
  <si>
    <t>Olešnice</t>
  </si>
  <si>
    <t>Obnovený divadelní spolek Jirásek</t>
  </si>
  <si>
    <t>SH ČMS - Sbor dobrovolných hasičů Olešnice</t>
  </si>
  <si>
    <t>Škola v roubence, z.s.</t>
  </si>
  <si>
    <t>Chorus, pěvecký spolek</t>
  </si>
  <si>
    <t>Osečná</t>
  </si>
  <si>
    <t>"Česká krajina CZ, o.s."</t>
  </si>
  <si>
    <t>Český rybářský svaz, z. s., místní organizace Osečná</t>
  </si>
  <si>
    <t>Český svaz včelařů, z.s., základní organizace Osečná</t>
  </si>
  <si>
    <t>Duše sadu z. s.</t>
  </si>
  <si>
    <t>E-centrum, o. s.</t>
  </si>
  <si>
    <t>Honební společenstvo Osečná</t>
  </si>
  <si>
    <t>Honební společenstvo Osečná-Druzcov</t>
  </si>
  <si>
    <t>MS Osečná-Kotel</t>
  </si>
  <si>
    <t>Myslivecké sdružení Osečná-Kotel, z. s.</t>
  </si>
  <si>
    <t>Myslivecký spolek Zlatá výšina Druzcov</t>
  </si>
  <si>
    <t>Občanské sdružení hradu Grabštejn</t>
  </si>
  <si>
    <t>RECESE o.s.</t>
  </si>
  <si>
    <t>Sdružení občanů "Lázeňský rybník"</t>
  </si>
  <si>
    <t>Sdružení pro kulturu v Osečné</t>
  </si>
  <si>
    <t>SH ČMS - Sbor dobrovolných hasičů Druzcov</t>
  </si>
  <si>
    <t>SH ČMS - Sbor dobrovolných hasičů Osečná</t>
  </si>
  <si>
    <t>SK Osečná, z.s.</t>
  </si>
  <si>
    <t>Spolek Holek</t>
  </si>
  <si>
    <t>Spolek rodičů a přátel školy při ZŠ a MŠ Osečná, z.s.</t>
  </si>
  <si>
    <t>TAISÓ z.s.</t>
  </si>
  <si>
    <t>THE TOUCAN</t>
  </si>
  <si>
    <t>Transcamion racing team z.s.</t>
  </si>
  <si>
    <t>Základní organizace Českého zahrádkářského svazu Osečná</t>
  </si>
  <si>
    <t>ZČ AB ZBOJNÍCI OSEČNÁ</t>
  </si>
  <si>
    <t>FIT livestyle, z.s.</t>
  </si>
  <si>
    <t>Paceřice</t>
  </si>
  <si>
    <t>Občanské sdružení Rohanka</t>
  </si>
  <si>
    <t>SH ČMS - Sbor dobrovolných hasičů Paceřice</t>
  </si>
  <si>
    <t>Spolek Jezdecká stáj EquiMind Paceřice</t>
  </si>
  <si>
    <t>Světlo slunečnice</t>
  </si>
  <si>
    <t>World dance sport z.s.</t>
  </si>
  <si>
    <t>Chci sportovat!</t>
  </si>
  <si>
    <t>Paseky nad Jizerou</t>
  </si>
  <si>
    <t>Paseky outdoor o.s., v likvidaci</t>
  </si>
  <si>
    <t>SH ČMS - Sbor dobrovolných hasičů Paseky nad Jizerou</t>
  </si>
  <si>
    <t>Svatováclavský sbor v Pasekách nad Jizerou, z.s.</t>
  </si>
  <si>
    <t>Tělocvičná jednota Sokol Paseky nad Jizerou</t>
  </si>
  <si>
    <t>Základní organizace Emba s.r.o. Paseky n. Jizerou</t>
  </si>
  <si>
    <t>Lidové stavby, z.s.</t>
  </si>
  <si>
    <t>Pertoltice</t>
  </si>
  <si>
    <t>Myslivecký spolek Dolní Pertoltice</t>
  </si>
  <si>
    <t>PRINCIPUM DOMUM, z.ú.</t>
  </si>
  <si>
    <t>PWL VISION NUTRITION, z.s.</t>
  </si>
  <si>
    <t>Sdružení Jablíčko, z.s. - v likvidaci</t>
  </si>
  <si>
    <t>SH ČMS - Sbor dobrovolných hasičů Pertoltice</t>
  </si>
  <si>
    <t>SPPZ Frýdlantsko z.s.</t>
  </si>
  <si>
    <t>Vem Camará Capoeira Pertoltice z.s.</t>
  </si>
  <si>
    <t>ZA EKOLOGICKÉ PERTOLTICE</t>
  </si>
  <si>
    <t>FK Pertoltice z.s.</t>
  </si>
  <si>
    <t>Pertoltice pod Ralskem</t>
  </si>
  <si>
    <t>Hippo-riders o.s.</t>
  </si>
  <si>
    <t>Myslivecký spolek SVORNOST PERTOLTICE</t>
  </si>
  <si>
    <t>Vodácký klub Pertoltice pod Ralskem</t>
  </si>
  <si>
    <t>Myslivecký spolek Strážník Mříčná Peřimov, z.s.</t>
  </si>
  <si>
    <t>Peřimov</t>
  </si>
  <si>
    <t>Ochotnický divadelní spolek Strážník</t>
  </si>
  <si>
    <t>SH ČMS - Sbor dobrovolných hasičů Peřimov</t>
  </si>
  <si>
    <t>SPOLDŮM čp.134 PEŘIMOV, z. s.</t>
  </si>
  <si>
    <t>Spolek vodovodního řádu "Brandeburák"</t>
  </si>
  <si>
    <t>TĚLOCVIČNÁ JEDNOTA SOKOL PEŘIMOV</t>
  </si>
  <si>
    <t>Asociace soukromých zemědělců, regionů Jablonce nad Nisou, Liberce a Semil, z.s.</t>
  </si>
  <si>
    <t>Plavy</t>
  </si>
  <si>
    <t>Honební společenstvo VELKÉ HAMRY II - PLAVY okr.Jablonec n/N</t>
  </si>
  <si>
    <t>"Přátelé z údolí o.s."</t>
  </si>
  <si>
    <t>Redneck Vehicle Club z.s.</t>
  </si>
  <si>
    <t>SH ČMS - Sbor dobrovolných hasičů Haratice</t>
  </si>
  <si>
    <t>SH ČMS - Sbor dobrovolných hasičů Plavy</t>
  </si>
  <si>
    <t>Spolek Vojenské Historie Muzeum Československé Armády</t>
  </si>
  <si>
    <t>Tělovýchovná jednota Sokol Plavy, spolek</t>
  </si>
  <si>
    <t>T.J. Sokol Seba Plavy</t>
  </si>
  <si>
    <t>ČISTÁ ENERGIE (alternativa pro zdravý životní styl)</t>
  </si>
  <si>
    <t>Polevsko</t>
  </si>
  <si>
    <t>FC Polevsko, z.s.</t>
  </si>
  <si>
    <t>Ski Polevsko, z.s.</t>
  </si>
  <si>
    <t>Sportovní klub Polevsko, z. s.</t>
  </si>
  <si>
    <t>AUTO KLUB SEBA v AČR v likvidaci</t>
  </si>
  <si>
    <t>Poniklá</t>
  </si>
  <si>
    <t>Český svaz včelařů, z.s., základní organizace Poniklá</t>
  </si>
  <si>
    <t>Kabinet kerkonošské slovesnosti, z.s.</t>
  </si>
  <si>
    <t>MUZEUM KRKONOŠSKÝCH ŘEMESEL</t>
  </si>
  <si>
    <t>Pěvecký soubor Satori v likvidaci</t>
  </si>
  <si>
    <t>SH ČMS - Sbor dobrovolných hasičů Poniklá</t>
  </si>
  <si>
    <t>SH ČMS - Sbor dobrovolných hasičů Přívlaka</t>
  </si>
  <si>
    <t>Svaz postižených civilizačními chorobami v ČR, o.s. základní organizace Poniklá</t>
  </si>
  <si>
    <t>Tělocvičná jednota Sokol Poniklá</t>
  </si>
  <si>
    <t>TJ Poniklá, Z.S.</t>
  </si>
  <si>
    <t>DIVADLO BIBER</t>
  </si>
  <si>
    <t>Proseč pod Ještědem</t>
  </si>
  <si>
    <t>Honební společenstvo Proseč pod Ještedem</t>
  </si>
  <si>
    <t>KELT o.p.s.</t>
  </si>
  <si>
    <t>Myslivecký spolek Proseč pod Ještědem</t>
  </si>
  <si>
    <t>SH ČMS - Sbor dobrovolných hasičů Proseč pod Ještědem</t>
  </si>
  <si>
    <t>Tělocvičná jednota Sokol Proseč pod Ještědem</t>
  </si>
  <si>
    <t>AIM AT SUPPORT, z.ú.</t>
  </si>
  <si>
    <t>Provodín</t>
  </si>
  <si>
    <t>Kolaři Provodín z.s.</t>
  </si>
  <si>
    <t>Poutníci Provodín, z.s.</t>
  </si>
  <si>
    <t>Rozhledna Provodín</t>
  </si>
  <si>
    <t>Spolek BIZON HILL CZECH</t>
  </si>
  <si>
    <t>Spolek Garra rufa, o.s.</t>
  </si>
  <si>
    <t>Sportovní klub Provodín</t>
  </si>
  <si>
    <t>Sportovní klub Provodínské písky, a.s., Provodín</t>
  </si>
  <si>
    <t>Tenisový klub Provodín z.s.</t>
  </si>
  <si>
    <t>ZO - PROVODÍNSKÉ PÍSKY A.S. PROVODÍN</t>
  </si>
  <si>
    <t>DMO Lužické a Žitavské hory, z.s.</t>
  </si>
  <si>
    <t>Prysk</t>
  </si>
  <si>
    <t>MOTOSPORT KLUB SEVER AČR</t>
  </si>
  <si>
    <t>Občanské sdružení Vesnička</t>
  </si>
  <si>
    <t>Preškavští turisté, z.s.</t>
  </si>
  <si>
    <t>Římskokatolická farnost Horní Prysk</t>
  </si>
  <si>
    <t>Sdružení chalupářů Horní Prysk</t>
  </si>
  <si>
    <t>SK PRYSK</t>
  </si>
  <si>
    <t>Sportovní klub tenisu a nohejbalu v Prysku</t>
  </si>
  <si>
    <t>Trampská osada Ranch 7D, z.s.</t>
  </si>
  <si>
    <t>Základní organizace odborového sdružení PRAD Pre ciosa a.s. závod 13</t>
  </si>
  <si>
    <t>Občané proti superseverní variantě R35, z.s.</t>
  </si>
  <si>
    <t>Pulečný</t>
  </si>
  <si>
    <t>Pulečci, z. s.</t>
  </si>
  <si>
    <t>Pulečný sobě</t>
  </si>
  <si>
    <t>Sbor dobrovolných hasičů Pulečný</t>
  </si>
  <si>
    <t>SK Pulec, z.s.</t>
  </si>
  <si>
    <t>Way of harmony, z. s.</t>
  </si>
  <si>
    <t>BTO - dechový - taneční orchestr</t>
  </si>
  <si>
    <t>Pěnčín</t>
  </si>
  <si>
    <t>Český kynologický svaz ZKO Desná - 743 - v likvidaci</t>
  </si>
  <si>
    <t>Český svaz včelařů, z.s., základní organizace Huntířov nad Jizerou</t>
  </si>
  <si>
    <t>Honební společenstvo Pěnčín</t>
  </si>
  <si>
    <t>Krásnohled, o.s.</t>
  </si>
  <si>
    <t>Myslivecký spolek Březí</t>
  </si>
  <si>
    <t>Sdružení rodičů a přátel při MŠ Pěnčín</t>
  </si>
  <si>
    <t>SH ČMS - Okrsek Pěnčín</t>
  </si>
  <si>
    <t>SH ČMS - Sbor dobrovolných hasičů Alšovice</t>
  </si>
  <si>
    <t>SH ČMS - Sbor dobrovolných hasičů Bratříkov</t>
  </si>
  <si>
    <t>SH ČMS - Sbor dobrovolných hasičů Huť</t>
  </si>
  <si>
    <t>SH ČMS - Sbor dobrovolných hasičů Jistebsko</t>
  </si>
  <si>
    <t>SH ČMS - Sbor dobrovolných hasičů Pěnčín</t>
  </si>
  <si>
    <t>Sokol Huť, spolek</t>
  </si>
  <si>
    <t>Spolek Huť pro život</t>
  </si>
  <si>
    <t>Spolek Huť 561/14</t>
  </si>
  <si>
    <t>Sportovní klub IZOPROSPER JABLONEC N. N., z.s.</t>
  </si>
  <si>
    <t>Tělocvičná jednota Sokol Alšovice</t>
  </si>
  <si>
    <t>Tělocvičná jednota Sokol Bratříkov</t>
  </si>
  <si>
    <t>TJ FC Pěnčín z.s.</t>
  </si>
  <si>
    <t>TJ Sokol Jistebsko z.s.</t>
  </si>
  <si>
    <t>TJ ZD Pěnčín</t>
  </si>
  <si>
    <t>A.P.A. - ČZ MOTOCROSS Pěnčín</t>
  </si>
  <si>
    <t>Český svaz včelařů, z.s., základní organizace Sychrov</t>
  </si>
  <si>
    <t>Dobrá mysl o.p.s.</t>
  </si>
  <si>
    <t>Jezdecký klub Elite, z.s.</t>
  </si>
  <si>
    <t>Jezdecký klub Ranč na Šutru z.s.</t>
  </si>
  <si>
    <t>Občanské sdružení Zelená Zásada</t>
  </si>
  <si>
    <t>"Sdružení přátel Gymnázia Turnov, o.s."</t>
  </si>
  <si>
    <t>Spolek zahrádkářů v Pěnčíně</t>
  </si>
  <si>
    <t>Sportovní klub BPR z.s.</t>
  </si>
  <si>
    <t>TJ Sokol Pěnčín, z.s.</t>
  </si>
  <si>
    <t>1. Střížovická z. s.</t>
  </si>
  <si>
    <t>FK Přepeře z.s.</t>
  </si>
  <si>
    <t>Přepeře</t>
  </si>
  <si>
    <t>GLOW CZ, z.s.</t>
  </si>
  <si>
    <t>Myslivecký spolek Český ráj Přepeře</t>
  </si>
  <si>
    <t>Náboženská obec Církve československé husitské v Přepeřích</t>
  </si>
  <si>
    <t>Nelelkuju, z. s.</t>
  </si>
  <si>
    <t>Občanské sdružení Přenet</t>
  </si>
  <si>
    <t>"Rodinné centrum Úsměv" v likvidaci</t>
  </si>
  <si>
    <t>Římskokatolická farnost Loukovec</t>
  </si>
  <si>
    <t>Římskokatolická farnost Přepeře</t>
  </si>
  <si>
    <t>SH ČMS - Sbor dobrovolných hasičů Přepeře</t>
  </si>
  <si>
    <t>TAM. POD JEŠTĚDEM</t>
  </si>
  <si>
    <t>TJ Sokol Přepeře, z.s.</t>
  </si>
  <si>
    <t>1. FC Přepeře, z. s. v likvidaci</t>
  </si>
  <si>
    <t>Fire night cup, z.s. v likvidaci</t>
  </si>
  <si>
    <t>Příkrý</t>
  </si>
  <si>
    <t>HONEBNÍ SPOLEČENSTVO SEMILY</t>
  </si>
  <si>
    <t>SH ČMS - Sbor dobrovolných hasičů Příkrý</t>
  </si>
  <si>
    <t>SH ČMS - Sbor dobrovolných hasičů Škodějov</t>
  </si>
  <si>
    <t>Spolek přátel Hřiště</t>
  </si>
  <si>
    <t>Tělocvičná jednota Sokol Příkrý</t>
  </si>
  <si>
    <t>F 600 Club CZ</t>
  </si>
  <si>
    <t>Příšovice</t>
  </si>
  <si>
    <t>Filip´s Club z.s.</t>
  </si>
  <si>
    <t>Jachetní klub Příšovice</t>
  </si>
  <si>
    <t>Jezdecký oddíl p. Škréty</t>
  </si>
  <si>
    <t>SH ČMS - Sbor dobrovolných hasičů Příšovice</t>
  </si>
  <si>
    <t>Společenství vlastníků domu čp.200 v Příšovicích</t>
  </si>
  <si>
    <t>Spolek Za lepší Příšovice</t>
  </si>
  <si>
    <t>TJ Sokol Příšovice, spolek</t>
  </si>
  <si>
    <t>Základní organizace Českého zahrádkářského svazu Příšovice</t>
  </si>
  <si>
    <t>1. turnovská chráněná dílna z.s.</t>
  </si>
  <si>
    <t>Kozáček</t>
  </si>
  <si>
    <t>Radimovice</t>
  </si>
  <si>
    <t>Mateřské centrum V Podzámčí, z. s.</t>
  </si>
  <si>
    <t>MotoRadimovice z.s.</t>
  </si>
  <si>
    <t>Pandion, z.s.</t>
  </si>
  <si>
    <t>SH ČMS - Sbor dobrovolných hasičů Radimovice</t>
  </si>
  <si>
    <t>Social Assistance Poverty</t>
  </si>
  <si>
    <t>Sportovní klub ÁBéčko, z.s.</t>
  </si>
  <si>
    <t>Tělocvičná jednota Sokol  Radimovice</t>
  </si>
  <si>
    <t>Venkovské projekty, z.s.</t>
  </si>
  <si>
    <t>Veselý palouček, z.s.</t>
  </si>
  <si>
    <t>Jezdecký klub KVAPOL z.s.</t>
  </si>
  <si>
    <t>Radostná pod Kozákovem</t>
  </si>
  <si>
    <t>SH ČMS - Sbor dobrovolných hasičů Lestkov</t>
  </si>
  <si>
    <t>Spolek farmáře Otakara, z.s.</t>
  </si>
  <si>
    <t>Spolek pro edukaci a všestranný pohybový rozvoj</t>
  </si>
  <si>
    <t>Občanské sdružení obce Radvanec</t>
  </si>
  <si>
    <t>Radvanec</t>
  </si>
  <si>
    <t>ČSS, z.s. - Sportovně střelecký klub Sběratelé, Střelnice Jílové</t>
  </si>
  <si>
    <t>Radčice</t>
  </si>
  <si>
    <t>"Korálek Radčice"</t>
  </si>
  <si>
    <t>SH ČMS - Sbor dobrovolných hasičů Radčice</t>
  </si>
  <si>
    <t>Tělocvičná jednota Sokol Radčice</t>
  </si>
  <si>
    <t>TJ Sokol Radčice, z.s.</t>
  </si>
  <si>
    <t>Kulturní a divadelní spolek Jizeran</t>
  </si>
  <si>
    <t>Rakousy</t>
  </si>
  <si>
    <t>Agility Dogs of Needles, z.s.</t>
  </si>
  <si>
    <t>Ralsko</t>
  </si>
  <si>
    <t>Asociace asanačních podniků- CZ, z. s.</t>
  </si>
  <si>
    <t>BC Ralsko o. s.</t>
  </si>
  <si>
    <t>Cogito ergo sum, z.s.</t>
  </si>
  <si>
    <t>Cuore Vita z.s.</t>
  </si>
  <si>
    <t>Český svaz včelařů, z.s,  základní organizace Ralsko</t>
  </si>
  <si>
    <t>Divadelní společnost Horka</t>
  </si>
  <si>
    <t>Geopark Ralsko o.p.s.</t>
  </si>
  <si>
    <t>"JILORO"</t>
  </si>
  <si>
    <t>Lovecká společnost Diana Bílá Hlína</t>
  </si>
  <si>
    <t>MS VRANOV v Mimoni</t>
  </si>
  <si>
    <t>Nadační fond Daruj srdcem</t>
  </si>
  <si>
    <t>Občanské sdružení Ralsko pro život</t>
  </si>
  <si>
    <t>Pobočný spolek Český svět - Ralsko</t>
  </si>
  <si>
    <t>Rozvoj Českolipska, z.s.</t>
  </si>
  <si>
    <t>Sdružení Náhlov v oblasti Ralsko</t>
  </si>
  <si>
    <t>SH ČMS - Sbor dobrovolných hasičů Ralsko</t>
  </si>
  <si>
    <t>SK Ralsko</t>
  </si>
  <si>
    <t>Spolek Vlastníků, v likvidaci</t>
  </si>
  <si>
    <t>unknowN illusion e-sports club o.s.</t>
  </si>
  <si>
    <t>Základní organizace Českého zahrádkářského svazu Ralsko - Kuřívody</t>
  </si>
  <si>
    <t>AUTOMOTOKLUB RASPENAVA</t>
  </si>
  <si>
    <t>Raspenava</t>
  </si>
  <si>
    <t>Český kynologický svaz ZKO Raspenava - 691</t>
  </si>
  <si>
    <t>Český svaz chovatelů, z.s., Základní organizace Raspenava</t>
  </si>
  <si>
    <t>Český svaz včelařů, z.s., základní organizace Raspenava</t>
  </si>
  <si>
    <t>Dětský sportovní oddíl pro podporu multikulturního prostředí o.s.</t>
  </si>
  <si>
    <t>FC JOKERS z.s.</t>
  </si>
  <si>
    <t>Honební společenstvo Raspenava</t>
  </si>
  <si>
    <t>Honební společenstvo Raspenava - Peklo</t>
  </si>
  <si>
    <t>Jezdecký klub Raspenava</t>
  </si>
  <si>
    <t>Jiskra Raspenava z.s.</t>
  </si>
  <si>
    <t>KOMPAS, z.s.</t>
  </si>
  <si>
    <t>Koně pod Doubravou z. s.</t>
  </si>
  <si>
    <t>Mája</t>
  </si>
  <si>
    <t>MS Zátiší Raspenava</t>
  </si>
  <si>
    <t>Multiversum z.s.</t>
  </si>
  <si>
    <t>Myslivecký spolek Oleška - Větrov</t>
  </si>
  <si>
    <t>Občanské sdružení Frýdlantských Romů</t>
  </si>
  <si>
    <t>Občanské sdružení Karolinthal</t>
  </si>
  <si>
    <t>PANELÁK, o.s.</t>
  </si>
  <si>
    <t>Rescue team Liberec o.s.</t>
  </si>
  <si>
    <t>Římskokatolická farnost Mníšek u Liberce</t>
  </si>
  <si>
    <t>Římskokatolická farnost Raspenava</t>
  </si>
  <si>
    <t>Sdružení Ba.La.Da., z.s.</t>
  </si>
  <si>
    <t>SH ČMS - Sbor dobrovolných hasičů Lužec</t>
  </si>
  <si>
    <t>SH ČMS - Sbor dobrovolných hasičů Raspenava</t>
  </si>
  <si>
    <t>Slůně, z. s.</t>
  </si>
  <si>
    <t>Spolek rodičů a přátel dětí školy Raspenava</t>
  </si>
  <si>
    <t>Sportovní klub HZS Libereckého kraje, z. s.</t>
  </si>
  <si>
    <t>Sportovní klub Power Fitness, z.s.</t>
  </si>
  <si>
    <t>Sportovní klub S.K.RASPENAVA z.s.</t>
  </si>
  <si>
    <t>Superpohár Frýdlantsko, z.s.</t>
  </si>
  <si>
    <t>Tvořivý ateliér z.s.</t>
  </si>
  <si>
    <t>WWOOF Czechia, z.s.</t>
  </si>
  <si>
    <t>Základní organizace Českého zahrádkářského svazu Raspenava</t>
  </si>
  <si>
    <t>Základní organizace odborového svazu pracovníků školství při Základní škole v Raspenavě</t>
  </si>
  <si>
    <t>Český kynologický svaz základní kynologická organizace Rokytnice nad Jizerou</t>
  </si>
  <si>
    <t>Rokytnice nad Jizerou</t>
  </si>
  <si>
    <t>Český svaz včelařů, z.s., základní organizace Rokytnice nad Jizerou</t>
  </si>
  <si>
    <t>Depozitum Bastet z.s.</t>
  </si>
  <si>
    <t>Divadelní spolek Jirásek - Rokytnice nad Jizerou</t>
  </si>
  <si>
    <t>Honební společenstvo Jablonec nad Jizerou</t>
  </si>
  <si>
    <t>KČT, odbor TJ Spartak Rokytnice nad Jizerou</t>
  </si>
  <si>
    <t>Klub vojáků v záloze Rokytnice nad Jizerou</t>
  </si>
  <si>
    <t>KRKONOŠSKÝ AUTO KLUB ROKYTNICE NAD JIZEROU V AČR</t>
  </si>
  <si>
    <t>Náboženská obec Církve československé husitské v Jilemnici</t>
  </si>
  <si>
    <t>Nadační fond kulturního a industriálního dědictví</t>
  </si>
  <si>
    <t>Římskokatolická farnost Rokytnice nad Jizerou</t>
  </si>
  <si>
    <t>Sbor Církve adventistů sedmého dne Horní Rokytnice</t>
  </si>
  <si>
    <t>SH ČMS - Sbor dobrovolných hasičů Františkov</t>
  </si>
  <si>
    <t>SH ČMS - Sbor dobrovolných hasičů Rokytnice nad Jizerou</t>
  </si>
  <si>
    <t>SH ČMS - Sbor dobrovolných hasičů Vilémov</t>
  </si>
  <si>
    <t>SK Olin, z.s.</t>
  </si>
  <si>
    <t>Ski klub Masters Rokytnice n. J., z.s.</t>
  </si>
  <si>
    <t>Spolek pro rozvoj cestovního ruchu v Rokytnici nad Jizerou z.s.</t>
  </si>
  <si>
    <t>Spolek Soví vrch</t>
  </si>
  <si>
    <t>Starý kravín z.s.</t>
  </si>
  <si>
    <t>TJ Spartak Rokytnice nad Jizerou, z.s.</t>
  </si>
  <si>
    <t>Voda - Horní Rokytnice z.s.</t>
  </si>
  <si>
    <t>Základní organizace Českého zahrádkářského svazu  Rokytnice nad Jizerou</t>
  </si>
  <si>
    <t>Základní organizace Odborového svazu zdravotnictví a sociální péče České republiky, Domov důchodců Rokytnice nad Jizerou</t>
  </si>
  <si>
    <t>HONEBNÍ SPOLEČENSTVO ROPRACHTICE</t>
  </si>
  <si>
    <t>Roprachtice</t>
  </si>
  <si>
    <t>Myslivecký spolek Kopanina - Roprachtice</t>
  </si>
  <si>
    <t>Roprachtický okrašlovací spolek</t>
  </si>
  <si>
    <t>SH ČMS - Sbor dobrovolných hasičů Roprachtice</t>
  </si>
  <si>
    <t>TJ SOKOL Roprachtice,spolek</t>
  </si>
  <si>
    <t>Asociace TOM ČR, 20505 Bobříci ORZ</t>
  </si>
  <si>
    <t>Rovensko pod Troskami</t>
  </si>
  <si>
    <t>"Bobříci z Rovenska" v likvidaci</t>
  </si>
  <si>
    <t>Centrum Komunikace z.s.</t>
  </si>
  <si>
    <t>Český svaz včelařů, z.s., základní organizace Rovensko pod Troskami</t>
  </si>
  <si>
    <t>Český zahrádkářský svaz základní organizace Rovensko pod Troskami</t>
  </si>
  <si>
    <t>Ochranovský sbor při Českobratrské církvi evangelické v Rovensku pod Troskami</t>
  </si>
  <si>
    <t>Okrašlovací spolek v Rovensku pod Troskami</t>
  </si>
  <si>
    <t>Římskokatolická farnost Hrubá Skála</t>
  </si>
  <si>
    <t>Římskokatolická farnost Libuň</t>
  </si>
  <si>
    <t>Římskokatolická farnost Mladějov</t>
  </si>
  <si>
    <t>Římskokatolická farnost Rovensko pod Troskami</t>
  </si>
  <si>
    <t>Římskokatolická farnost Újezd pod Troskami</t>
  </si>
  <si>
    <t>Římskokatolická farnost Vyskeř</t>
  </si>
  <si>
    <t>Sdružení rodičů při ZŠ Rovensko pod Troskami v likvidaci</t>
  </si>
  <si>
    <t>SH ČMS - Sbor dobrovolných hasičů Křečovice</t>
  </si>
  <si>
    <t>SH ČMS - Sbor dobrovolných hasičů Rovensko pod Troskami</t>
  </si>
  <si>
    <t>SH ČMS - Sbor dobrovolných hasičů Štěpánovice - Blatec</t>
  </si>
  <si>
    <t>Spolek Divadelních ochotníků Rovensko pod Troskami</t>
  </si>
  <si>
    <t>Sportovní klub Letem světem, o.p.s.</t>
  </si>
  <si>
    <t>Svaz tělesně postižených v České republice z. s. místní organizace Rovensko pod Troskami</t>
  </si>
  <si>
    <t>TJ Sokol Rovensko pod Troskami z.s.</t>
  </si>
  <si>
    <t>"TRVANLIVÉ PEČIVO ČESKÉHO RÁJE" v likvidaci</t>
  </si>
  <si>
    <t>Za Rovensko v Českém ráji z.s.</t>
  </si>
  <si>
    <t>Základní organizace Základní škola Rovensko pod Troskami</t>
  </si>
  <si>
    <t>Český svaz chovatelů, z.s., Základní organizace Roztoky u Jilemnice</t>
  </si>
  <si>
    <t>Roztoky u Jilemnice</t>
  </si>
  <si>
    <t>Honební společenstvo Roztoky u Jilemnice</t>
  </si>
  <si>
    <t>SH ČMS - Sbor dobrovolných hasičů Roztoky u Jilemnice</t>
  </si>
  <si>
    <t>Tělovýchovná jednota Sokol Roztoky u Jilemnice, z.s.</t>
  </si>
  <si>
    <t>HONEBNÍ SPOLEČENSTVO ROZTOKY U SEMIL</t>
  </si>
  <si>
    <t>Roztoky u Semil</t>
  </si>
  <si>
    <t>Myslivecký spolek Roztoky - Helkovice</t>
  </si>
  <si>
    <t>SH ČMS - Sbor dobrovolných hasičů Roztoky u Semil</t>
  </si>
  <si>
    <t>ArtproProstor, z. s.</t>
  </si>
  <si>
    <t>Rychnov u Jablonce nad Nisou</t>
  </si>
  <si>
    <t>BEZMEZER, o.p.s.</t>
  </si>
  <si>
    <t>Český kynologický svaz ZKO Jílové u Držkova - 755</t>
  </si>
  <si>
    <t>„Dobrmani v nouzi“ o.s.</t>
  </si>
  <si>
    <t>Dočasná Company z.s.</t>
  </si>
  <si>
    <t>Institut rozvoje kompetencí, z.ú.</t>
  </si>
  <si>
    <t>Kulturní nadační fond města Rychnova</t>
  </si>
  <si>
    <t>Melounek z. s.</t>
  </si>
  <si>
    <t>Myslivecké sdružení Dolina Rychnov, z.s.</t>
  </si>
  <si>
    <t>Myslivecký spolek Jenišovice-Bezděčín</t>
  </si>
  <si>
    <t>Občanské sdružení Na Zemi</t>
  </si>
  <si>
    <t>Pozemkový spolek Lísek</t>
  </si>
  <si>
    <t>Přátelé Pelíkovic</t>
  </si>
  <si>
    <t>Přátelé Rychnova, o.s.</t>
  </si>
  <si>
    <t>Rodinné centrum Klubíčko, z.s.</t>
  </si>
  <si>
    <t>RYCHFEST, o.s.</t>
  </si>
  <si>
    <t>Rychnovský spolek</t>
  </si>
  <si>
    <t>Scheufler Racing Team Klub v AČR</t>
  </si>
  <si>
    <t>SH ČMS - Sbor dobrovolných hasičů Rychnov u Jablonce n.N.</t>
  </si>
  <si>
    <t>Spartak Rychnov z.s.</t>
  </si>
  <si>
    <t>Spolek Montessori, z.s.</t>
  </si>
  <si>
    <t>Spolek přátel vojenské historie SEVER 2013</t>
  </si>
  <si>
    <t>Taneční a pohybové studio Magdaléna, z.s.</t>
  </si>
  <si>
    <t>Technické sporty "Pojizeří", spolek</t>
  </si>
  <si>
    <t>Územní sdružení Českého zahrádkářského svazu Jablonec nad Nisou</t>
  </si>
  <si>
    <t>Za zájmy občanů města Rychnova</t>
  </si>
  <si>
    <t>Základní organizace Českého zahrádkářského svazu Rychnov u Jablonce nad Nisou</t>
  </si>
  <si>
    <t>ZO SILNICE LK Jablonec nad Nisou</t>
  </si>
  <si>
    <t>AA nezisk z. s.</t>
  </si>
  <si>
    <t>Rynoltice</t>
  </si>
  <si>
    <t>AUTO BORCI Z GARÁŽE z.s.</t>
  </si>
  <si>
    <t>,,České Sdružení Lovecké Lukostřelby, z.s."</t>
  </si>
  <si>
    <t>FK RYNOLTICE z.s.</t>
  </si>
  <si>
    <t>Honební společenstvo Rynoltice</t>
  </si>
  <si>
    <t>Jítrava, z.s.</t>
  </si>
  <si>
    <t>Jitravský grunt občanské sdružení</t>
  </si>
  <si>
    <t>MS JÍTRAVA</t>
  </si>
  <si>
    <t>MS Polesí - Jitrava</t>
  </si>
  <si>
    <t>Myslivecký spolek Zelené Háje - Liberec</t>
  </si>
  <si>
    <t>OBČANSKÉ SDRUŽENÍ MEZINÁRODNÍ ŠKOLA OBNOVY VENKOVA</t>
  </si>
  <si>
    <t>RySK z.s.</t>
  </si>
  <si>
    <t>Římskokatolická farnost Jítrava</t>
  </si>
  <si>
    <t>Sdružení rodičů a přátel školy při Základní škole a Mateřské škole Rynoltice, okres Liberec</t>
  </si>
  <si>
    <t>Sdružení trempů Rynoltice</t>
  </si>
  <si>
    <t>SH ČMS - Sbor dobrovolných hasičů Rynoltice</t>
  </si>
  <si>
    <t>SH ČMS - Sbor dobrovolných hasičů Rynoltice 1</t>
  </si>
  <si>
    <t>STOP NEHODÁM, z.s.</t>
  </si>
  <si>
    <t>"Chytrá voda o.s."</t>
  </si>
  <si>
    <t>Rádlo</t>
  </si>
  <si>
    <t>Český svaz chovatelů, z.s., Základní organizace Rádlo</t>
  </si>
  <si>
    <t>ČSS, z.s. - sportovně střelecký klub Combat Liberec</t>
  </si>
  <si>
    <t>Enduro Park Císařský Kámen z. s.</t>
  </si>
  <si>
    <t>H&amp;S team, z.s.</t>
  </si>
  <si>
    <t>Kočky-Online.cz, zapsaný spolek</t>
  </si>
  <si>
    <t>LIAZ MUZEUM z.s.</t>
  </si>
  <si>
    <t>Liberecká Sudbury škola, z.ú.</t>
  </si>
  <si>
    <t>Myslivecký spolek Zelené Údolí</t>
  </si>
  <si>
    <t>Sdružení rodičů a přátel školy Rádlo, z.s.</t>
  </si>
  <si>
    <t>SH ČMS - Sbor dobrovolných hasičů Rádlo</t>
  </si>
  <si>
    <t>Spolek pro rozvoj svobodného vzdělávání</t>
  </si>
  <si>
    <t>"Sportovní klub Pozdňa o.s."</t>
  </si>
  <si>
    <t>Tělovýchovná Jednota Sokol Rádlo z.s.</t>
  </si>
  <si>
    <t>ZO ČSOP ROKYTA</t>
  </si>
  <si>
    <t>AC MBQ, z. s.</t>
  </si>
  <si>
    <t>Semily</t>
  </si>
  <si>
    <t>Akademie waldorfské pedagogiky, z.s.</t>
  </si>
  <si>
    <t>Anthroposofická společnost - pobočka Kozákov</t>
  </si>
  <si>
    <t>Arbo de Vivo, zapsaný ústav</t>
  </si>
  <si>
    <t>Atletický klub Semily, z.s.</t>
  </si>
  <si>
    <t>Auto moto klub Krkonoše v AČR</t>
  </si>
  <si>
    <t>AUTOKLUB SEMILY V AČR</t>
  </si>
  <si>
    <t>AVZO TSČ ČR I.-ZO SEMILY</t>
  </si>
  <si>
    <t>BĚMARK v likvidaci</t>
  </si>
  <si>
    <t>Cellování, z.s.</t>
  </si>
  <si>
    <t>Centrum pro rodinu M.E.D., z.s.</t>
  </si>
  <si>
    <t>Cervus semilensis, z.s.</t>
  </si>
  <si>
    <t>Charita Semily</t>
  </si>
  <si>
    <t>CODA - slyšící potomci neslyšících rodičů, o. s. v likvidaci</t>
  </si>
  <si>
    <t>CODA ČR - Slyšící potomci neslyšících rodičů, z. s.</t>
  </si>
  <si>
    <t>Českomoravská myslivecká jednota, z.s., okresní myslivecký spolek Semily</t>
  </si>
  <si>
    <t>Český kynologický svaz ZKO Semily - 082</t>
  </si>
  <si>
    <t>Český rybářský svaz, z. s., místní organizace Semily</t>
  </si>
  <si>
    <t>Český svaz chovatelů, z.s., Základní organizace Semily</t>
  </si>
  <si>
    <t>Český svaz včelařů, o.s., základní organizace Semily</t>
  </si>
  <si>
    <t>Český svaz včelařů, z.s., základní organizace Semily</t>
  </si>
  <si>
    <t>ČSS, z.s. - sportovně střelecký klub Semily</t>
  </si>
  <si>
    <t>Domácí hospic Metanoia, z. ú.</t>
  </si>
  <si>
    <t>Domácí hospic 14 pomocníků, z.ú.</t>
  </si>
  <si>
    <t>Ostatní ambulantní nebo terénní sociální služby</t>
  </si>
  <si>
    <t>Dopraváček, obecně prospěšná společnost</t>
  </si>
  <si>
    <t>FOKUS Semily, z.s.</t>
  </si>
  <si>
    <t>Futrál, z.s.</t>
  </si>
  <si>
    <t>HC Semily, z.s.</t>
  </si>
  <si>
    <t>HIPPO SEMILY,Semilská společnost pro rozvoj jezdectví a hippoterapie, spolek</t>
  </si>
  <si>
    <t>HONEBNÍ SPOLEČENSTVO CHUCHELNA</t>
  </si>
  <si>
    <t>Hudební spolek DEON, z.s.</t>
  </si>
  <si>
    <t>Jizerka Semily, z.s.</t>
  </si>
  <si>
    <t>JUDO CLUB 7 Semily, z. s.</t>
  </si>
  <si>
    <t>Junák - český skaut, středisko Varta Semily, z. s.</t>
  </si>
  <si>
    <t>Klub českých turistů odbor Semily</t>
  </si>
  <si>
    <t>Klub přátel divadla Semily, z.s.</t>
  </si>
  <si>
    <t>Klub vojáků v záloze Hodkovice nad Mohelkou</t>
  </si>
  <si>
    <t>KSSF z. s.</t>
  </si>
  <si>
    <t>Kyabirwa, z.s.</t>
  </si>
  <si>
    <t>Lyžařský klub Semily z.s.</t>
  </si>
  <si>
    <t>Lyžařský vlek Semily z. s.</t>
  </si>
  <si>
    <t>MODELÁŘSKÝ KLUB, SMČR-304, SEMILY</t>
  </si>
  <si>
    <t>MS Jizera Semily z.s.</t>
  </si>
  <si>
    <t>MZISS 2, z.s.</t>
  </si>
  <si>
    <t>Na rovinu s ODS z.s.</t>
  </si>
  <si>
    <t>Náboženská obec Církve československé husitské v Semilech II - Podmoklice</t>
  </si>
  <si>
    <t>Nadace Kuršel Family Foundation</t>
  </si>
  <si>
    <t>Nadační fond Waldorf</t>
  </si>
  <si>
    <t>Naděje Libereckého kraje v alpském lyžování, z.s.</t>
  </si>
  <si>
    <t>NOS POLICIE ČR - ZO SEMILY</t>
  </si>
  <si>
    <t>Odborový svaz hasičů - základní organizace Semily</t>
  </si>
  <si>
    <t>Okresní fotbalový svaz Semily</t>
  </si>
  <si>
    <t>Okresní sportovní a tělovýchovné sdružení Semily, z.s.</t>
  </si>
  <si>
    <t>Orel jednota Semily</t>
  </si>
  <si>
    <t>OS ZAM. PTNS - ZO SPT TELECOM TEL. OBVOD SEMILY</t>
  </si>
  <si>
    <t>Pěvecký spolek Jizeran Semily, z.s.</t>
  </si>
  <si>
    <t>Podkozákovská liga, z.s.</t>
  </si>
  <si>
    <t>Podkrkonošská společnost přátel dětí zdravotně postižených Semily, z. s.</t>
  </si>
  <si>
    <t>Podkrkonošský symfonický orchestr, z. s.</t>
  </si>
  <si>
    <t>PříKrM - Přítel Krkonošského metra, zapsaný spolek</t>
  </si>
  <si>
    <t>Rada rodičů při ZŠ Ivana Olbrachta Semily z.s.</t>
  </si>
  <si>
    <t>Romsong Semily v likvidaci</t>
  </si>
  <si>
    <t>Římskokatolická farnost - děkanství Semily</t>
  </si>
  <si>
    <t>Římskokatolická farnost Loukov u Semil</t>
  </si>
  <si>
    <t>Římskokatolická farnost Roprachtice</t>
  </si>
  <si>
    <t>Římskokatolická farnost Tatobity</t>
  </si>
  <si>
    <t>Sbor Jednoty bratrské v Semilech</t>
  </si>
  <si>
    <t>SCC SEMILY, z.s.</t>
  </si>
  <si>
    <t>Sdružení rodičů a přátel ZŠ Dr.F.L.Riegra v Semilech z.s.</t>
  </si>
  <si>
    <t>Sdružení 435, z. s.</t>
  </si>
  <si>
    <t>Sdružení 620 z.s.</t>
  </si>
  <si>
    <t>SEMILÁCI</t>
  </si>
  <si>
    <t>Semilská Sportovní z.s.</t>
  </si>
  <si>
    <t>Semínko země z.s.</t>
  </si>
  <si>
    <t>Servisní centrum sportu ČUS Semily</t>
  </si>
  <si>
    <t>SH ČMS - Okresní sdružení hasičů Semily</t>
  </si>
  <si>
    <t>SH ČMS - Sbor dobrovolných hasičů Bítouchov</t>
  </si>
  <si>
    <t>SH ČMS - Sbor dobrovolných hasičů Nouzov</t>
  </si>
  <si>
    <t>SH ČMS - Sbor dobrovolných hasičů Semily - Podmoklice</t>
  </si>
  <si>
    <t>SH ČMS - Sbor dobrovolných hasičů Semily I</t>
  </si>
  <si>
    <t>SK Semily, z.s.</t>
  </si>
  <si>
    <t>SM Semily o. s. v likvidaci</t>
  </si>
  <si>
    <t>Spirála Turnov, z.s.</t>
  </si>
  <si>
    <t>Spolek Cestovatelů Semily, z. s.</t>
  </si>
  <si>
    <t>Spolek (Od)padlí ochotníci Semily v likvidaci</t>
  </si>
  <si>
    <t>"Spolek Památky Pojizeří"</t>
  </si>
  <si>
    <t>Spolek pro revitalizaci tenisových kurtů v Semilech</t>
  </si>
  <si>
    <t>Spolek přátel a muzeum železniční elektrotechniky, z. s.</t>
  </si>
  <si>
    <t>Spolek přátel Domu dětí a mládeže v Semilech, v likvidaci</t>
  </si>
  <si>
    <t>Spolek přátel waldorfské školy v Semilech</t>
  </si>
  <si>
    <t>Spolek rodáků a přátel Semil</t>
  </si>
  <si>
    <t>Spolek rodičů a přátel Gymnázia Ivana Olbrachta v Semilech, z.s.</t>
  </si>
  <si>
    <t>Spolek rodičů a přátel Základní umělecké školy Semily, příspěvkové organizace</t>
  </si>
  <si>
    <t>Spolek Romů v Semilech, pěstujících Romských i slovenský folklor</t>
  </si>
  <si>
    <t>Spolek stolního tenisu Špejchar</t>
  </si>
  <si>
    <t>Sportovní klub policie Semily</t>
  </si>
  <si>
    <t>Svaz postižených civilizačními chorobami v ČR. o.s. ZO Semily</t>
  </si>
  <si>
    <t>Tělocvičná jednota Sokol Semily</t>
  </si>
  <si>
    <t>Tělovýchovná jednota Semily, z.s.</t>
  </si>
  <si>
    <t>Tenisový klub Semily, z.s.</t>
  </si>
  <si>
    <t>Územní sdružení Českého zahrádkářského svazu Semily</t>
  </si>
  <si>
    <t>Vlastenecké sdružení antifašistů ČR,z.s.</t>
  </si>
  <si>
    <t>Základní odborová organizace Odborového svazu státních orgánů a organizací při Městském úřadu Semily</t>
  </si>
  <si>
    <t>Základní odborová organizace Všeobecné zdravotní pojišťovny ČR</t>
  </si>
  <si>
    <t>Základní organizace Českého zahrádkářského svazu Na Výsluní Semily</t>
  </si>
  <si>
    <t>Základní organizace Českého zahrádkářského svazu Treperka Semily</t>
  </si>
  <si>
    <t>Základní organizace Českomoravského odborového svazu pracovníků školství, Základní umělecká škola Semily</t>
  </si>
  <si>
    <t>Základní organizace Integrovaná střední odborná škola</t>
  </si>
  <si>
    <t>Základní organizace Odborového svazu dopravy BusLine a.s.</t>
  </si>
  <si>
    <t>Základní organizace Odborového svazu dopravy BusLine jižní Čechy</t>
  </si>
  <si>
    <t>Základní organizace Semilské strojírny s.r.o.</t>
  </si>
  <si>
    <t>Zdraví v soli z.s.</t>
  </si>
  <si>
    <t>ZO OS KOVO AXL, a.s. Semily</t>
  </si>
  <si>
    <t>ZO OS KOVO MAD CL KOVO</t>
  </si>
  <si>
    <t>ZO OS PRACOVNÍKU PENĚŽNICTVÍ A POJIŠŤOVNICTVÍ KOMERČNÍ BANKA,a.s.</t>
  </si>
  <si>
    <t>ZO OS TOK HYBLER PŘ</t>
  </si>
  <si>
    <t>ZO SILNICE LK Semily</t>
  </si>
  <si>
    <t>ZO SOS-21.SM Nezávislé odborové sdružení pracovníků České pošty okres Semily</t>
  </si>
  <si>
    <t>Zrnko naděje, z.s.</t>
  </si>
  <si>
    <t>AUTOKLUB 4X4PATROLTEAM z.s.</t>
  </si>
  <si>
    <t>Skalice u České Lípy</t>
  </si>
  <si>
    <t>Českolipským kočkám a pejskům, z.s.</t>
  </si>
  <si>
    <t>ČSS, z.s. - sportovně střelecký klub Skalice u České Lípy 0005</t>
  </si>
  <si>
    <t>DAAK TOUR, z.s.</t>
  </si>
  <si>
    <t>Hasičské fontány, z. s.</t>
  </si>
  <si>
    <t>Honební společenstvo Skalice</t>
  </si>
  <si>
    <t>Jezdecký klub Rival Skalice z.s.</t>
  </si>
  <si>
    <t>Jezdecký klub SKALICE</t>
  </si>
  <si>
    <t>Komunitní zahrada Skalice z. s.</t>
  </si>
  <si>
    <t>KVH Base North z.s.</t>
  </si>
  <si>
    <t>Mateřské centrum Písnička, o.s.</t>
  </si>
  <si>
    <t>Motoristické sdružení Novoborský Off Road Club</t>
  </si>
  <si>
    <t>MS Laml-Skalice, z. s.</t>
  </si>
  <si>
    <t>Myslivecké sdružení REBENKA</t>
  </si>
  <si>
    <t>Nadační fond na ochranu zvířat, přírody a kulturních památek</t>
  </si>
  <si>
    <t>Rebenka</t>
  </si>
  <si>
    <t>REBENKA SKALICE, z.s.</t>
  </si>
  <si>
    <t>Rybářský spolek Skalice u České Lípy</t>
  </si>
  <si>
    <t>Rytíři silnic, motorkáři se srdcem z.s.</t>
  </si>
  <si>
    <t>,,Sdružení Svobodná Ves´´</t>
  </si>
  <si>
    <t>SH ČMS - Sbor dobrovolných hasičů Skalice u České Lípy</t>
  </si>
  <si>
    <t>SK Skalice u České Lípy, z.s.</t>
  </si>
  <si>
    <t>Skaličtí mloci z. s.</t>
  </si>
  <si>
    <t>Spolek pro rozvoj nadání dětí, z. s.</t>
  </si>
  <si>
    <t>Spolek přátel Skalice</t>
  </si>
  <si>
    <t>Spolek Skalice Na Huti</t>
  </si>
  <si>
    <t>Český um - Artificium Bohemicum, z. s.</t>
  </si>
  <si>
    <t>Skalka u Doks</t>
  </si>
  <si>
    <t>Institut pohostinného přátelství z.s.</t>
  </si>
  <si>
    <t>Přírodní síť z. s.</t>
  </si>
  <si>
    <t>Severočeští farmáři</t>
  </si>
  <si>
    <t>Lesní klub Břidlička z.s.</t>
  </si>
  <si>
    <t>Skuhrov</t>
  </si>
  <si>
    <t>OS PROFIT, z.s.</t>
  </si>
  <si>
    <t>Sbor dobrovolných hasičů Skuhrov</t>
  </si>
  <si>
    <t>SH ČMS - Sbor dobrovolných hasičů Huntířov</t>
  </si>
  <si>
    <t>S-O-K, z. s.</t>
  </si>
  <si>
    <t>S.P.O.L.U. ve Skuhrově a Huntířově, z.s.</t>
  </si>
  <si>
    <t>SPORTCENTRUM Desná v Jizerských horách</t>
  </si>
  <si>
    <t>Tělocvičná jednota Sokol Huntířov nad Jizerou</t>
  </si>
  <si>
    <t>Tělocvičná jednota Sokol Skuhrov</t>
  </si>
  <si>
    <t>Tělovýchovná jednota Sokol Skuhrov, z. s.</t>
  </si>
  <si>
    <t>TRPOLA, v likvidaci</t>
  </si>
  <si>
    <t>Divadelní soubor Tyl Slaná, z.s.</t>
  </si>
  <si>
    <t>Slaná</t>
  </si>
  <si>
    <t>Golf Club Semily z.s.</t>
  </si>
  <si>
    <t>HONEBNÍ SPOLEČENSTVO SLANÁ</t>
  </si>
  <si>
    <t>HraLES, z.s.</t>
  </si>
  <si>
    <t>Myslivecký spolek NORA Slaná</t>
  </si>
  <si>
    <t>RAF akademie z. s.</t>
  </si>
  <si>
    <t>SH ČMS - Sbor dobrovolných hasičů Hořensko</t>
  </si>
  <si>
    <t>SH ČMS - Sbor dobrovolných hasičů Slaná</t>
  </si>
  <si>
    <t>SO Slaná, z.s.</t>
  </si>
  <si>
    <t>Andělský svět z.s.</t>
  </si>
  <si>
    <t>Sloup v Čechách</t>
  </si>
  <si>
    <t>Sociální péče v zařízeních pro osoby s chronickým duševním onemocněním</t>
  </si>
  <si>
    <t>CHOMOUTY 95</t>
  </si>
  <si>
    <t>Mezonet, z.s. v likvidaci</t>
  </si>
  <si>
    <t>Myslivecké sdružení LUŽ</t>
  </si>
  <si>
    <t>Občanské sdružení KENTAUR</t>
  </si>
  <si>
    <t>Okrašlovací spolek Sloup</t>
  </si>
  <si>
    <t>Rybářský spolek Sloup v Čechách</t>
  </si>
  <si>
    <t>SH ČMS - Sbor dobrovolných hasičů Sloup v Čechách</t>
  </si>
  <si>
    <t>Siddhártha Centrum, z. s.</t>
  </si>
  <si>
    <t>Spolek přátel Sloupu</t>
  </si>
  <si>
    <t>Spolek Sloup z. s.</t>
  </si>
  <si>
    <t>Stolní tenis Sloup v Čechách</t>
  </si>
  <si>
    <t>TJ Sokol Sloup v Čechách</t>
  </si>
  <si>
    <t>Volejbalová Akademie Nový Bor z.s.</t>
  </si>
  <si>
    <t>Myslivecký spolek Avia Slunečná</t>
  </si>
  <si>
    <t>Slunečná</t>
  </si>
  <si>
    <t>Okrašlovací spolek Slunečná</t>
  </si>
  <si>
    <t>SH ČMS - Sbor dobrovolných hasičů Slunečná</t>
  </si>
  <si>
    <t>Alpeol</t>
  </si>
  <si>
    <t>Smržovka</t>
  </si>
  <si>
    <t>Českomoravská sáňkařská asociace z.s.</t>
  </si>
  <si>
    <t>Český kynologický svaz ZKO Smržovka - 492</t>
  </si>
  <si>
    <t>Český svaz včelařů, z.s., základní organizace Smržovka</t>
  </si>
  <si>
    <t>„Dámský klub Smržovka“</t>
  </si>
  <si>
    <t>D.C.G. Smržovka</t>
  </si>
  <si>
    <t>Divadelní spolek - SMRŽ, z.s.</t>
  </si>
  <si>
    <t>FK KOVO z.s.</t>
  </si>
  <si>
    <t>FREE MINDS o.s.</t>
  </si>
  <si>
    <t>Jezdecký klub Samuel</t>
  </si>
  <si>
    <t>Klub vojáků v záloze Tanvald</t>
  </si>
  <si>
    <t>Lesní klub Jitřenka z.s.</t>
  </si>
  <si>
    <t>MUHU - správce z. s.</t>
  </si>
  <si>
    <t>Myslivecký spolek Černá Studnice Smržovka</t>
  </si>
  <si>
    <t>Nadace Pneuforce</t>
  </si>
  <si>
    <t>NATURA - sdružení přírodovědného muzea ve Smržovce</t>
  </si>
  <si>
    <t>Občanské sdružení LT Smržovka</t>
  </si>
  <si>
    <t>Občanský klub nájemců domu čp.1278 Sportovní ul.Smržovka</t>
  </si>
  <si>
    <t>Ochranovský sbor při Českobratrské církvi evangelické v Tanvaldě</t>
  </si>
  <si>
    <t>Partnerský spolek Smržovka</t>
  </si>
  <si>
    <t>První Česká Asociace pracovníků přestupkových agend</t>
  </si>
  <si>
    <t>Přátelé přírody a myslivosti Jeřabinky z Jizerek, z.s.</t>
  </si>
  <si>
    <t>Radioklub Tanvald, zapsaný spolek</t>
  </si>
  <si>
    <t>„Rally Sport Kovář”</t>
  </si>
  <si>
    <t>Rodičovské sdružení při základní škole ve Smržovce</t>
  </si>
  <si>
    <t>Rodičovské sdružení při ZŠ Smržovka</t>
  </si>
  <si>
    <t>SH ČMS - Sbor dobrovolných hasičů Smržovka</t>
  </si>
  <si>
    <t>SH ČMS - Sbor dobrovolných hasičů Střední Smržovka</t>
  </si>
  <si>
    <t>Společnost pro ochranu přírody</t>
  </si>
  <si>
    <t>Spolek Malé Polsko</t>
  </si>
  <si>
    <t>Spolek Michael</t>
  </si>
  <si>
    <t>Spolek SNS Smržovka</t>
  </si>
  <si>
    <t>Spolek SUDÉTA</t>
  </si>
  <si>
    <t>Sportovní klub saně Smržovka</t>
  </si>
  <si>
    <t>Světlo z hor, o. p. s.</t>
  </si>
  <si>
    <t>Tělovýchovná jednota Seba Klášter, z.s.</t>
  </si>
  <si>
    <t>Tělovýchovná jednota Spartak Smržovka, z.s.</t>
  </si>
  <si>
    <t>The ultimate boxing club Jablonec nad Nisou, z. s.</t>
  </si>
  <si>
    <t>TJ Saně Smržovka z.s.</t>
  </si>
  <si>
    <t>UNIKÁTNÍ PROJEKTY, spolek</t>
  </si>
  <si>
    <t>Víla Izerína, z. s.</t>
  </si>
  <si>
    <t>Vzdělávání 2030, z.s.</t>
  </si>
  <si>
    <t>Za živou Lužickou Nisu, občanský spolek</t>
  </si>
  <si>
    <t>ZP cykloservis cycling team, z. s.</t>
  </si>
  <si>
    <t>Honební společenstvo SVIJANY</t>
  </si>
  <si>
    <t>Soběslavice</t>
  </si>
  <si>
    <t>SH ČMS - Sbor dobrovolných hasičů Soběslavice</t>
  </si>
  <si>
    <t>Aglow, z.s.</t>
  </si>
  <si>
    <t>Sosnová</t>
  </si>
  <si>
    <t>AUTOKLUB ČESKÁ LÍPA v AČR</t>
  </si>
  <si>
    <t>FC JIKO Sosnová</t>
  </si>
  <si>
    <t>FK Sosnová</t>
  </si>
  <si>
    <t>Motor Sport Sosnová</t>
  </si>
  <si>
    <t>SK OLYMP Fitness Nový Bor, z.s.</t>
  </si>
  <si>
    <t>Skupina historického šermu AKKON - o.s.</t>
  </si>
  <si>
    <t>SMS SUPERMOTO Česká Lípa</t>
  </si>
  <si>
    <t>S.O.S.nova@czech z.s.</t>
  </si>
  <si>
    <t>Sparta Sosnová, občanské sdružení</t>
  </si>
  <si>
    <t>ST Sosnová z.s.</t>
  </si>
  <si>
    <t>Tělovýchovná jednota START SOSNOVÁ</t>
  </si>
  <si>
    <t>Volejbalový klub Pyramida Sosnová</t>
  </si>
  <si>
    <t>Za zelenou Sosnovou</t>
  </si>
  <si>
    <t>ZO SILNICE LK Česká Lípa</t>
  </si>
  <si>
    <t>Český svaz včelařů, z.s., základní organizace Lomnice nad Popelkou</t>
  </si>
  <si>
    <t>Stružinec</t>
  </si>
  <si>
    <t>HONEBNÍ SPOLEČENSTVO STRUŽINEC</t>
  </si>
  <si>
    <t>Myslivecké sdružení Pavlenka z.s.</t>
  </si>
  <si>
    <t>Ochránci přírody Stružinec z. s.</t>
  </si>
  <si>
    <t>SH ČMS - Sbor dobrovolných hasičů Pohoří</t>
  </si>
  <si>
    <t>SH ČMS - Sbor dobrovolných hasičů Stružinec</t>
  </si>
  <si>
    <t>SH ČMS - Sbor dobrovolných hasičů Tuhaň</t>
  </si>
  <si>
    <t>TJ Sokol Stružinec z.s.</t>
  </si>
  <si>
    <t>Tuhaň žije, z.s.</t>
  </si>
  <si>
    <t>VOJTÍŠKŮV STATEK 1598, z.s.</t>
  </si>
  <si>
    <t>Za malebný Bezděčín, z. s.</t>
  </si>
  <si>
    <t>Bořetínská voda, z. s.</t>
  </si>
  <si>
    <t>Stružnice</t>
  </si>
  <si>
    <t>CABRIO KLUB ČR v AČR</t>
  </si>
  <si>
    <t>Honební společenstvo Stružnice</t>
  </si>
  <si>
    <t>Myslivecký spolek Radečský vrch</t>
  </si>
  <si>
    <t>SH ČMS - Sbor dobrovolných hasičů Jezvé</t>
  </si>
  <si>
    <t>SPORTOVNĚ STŘELECKÝ KLUB STRUŽNICE, z.s.</t>
  </si>
  <si>
    <t>Tělovýchovná jednota Dynamo Stružnice, z.s.</t>
  </si>
  <si>
    <t>VIPER CLUB Česká Lípa</t>
  </si>
  <si>
    <t>aquatherm - cz</t>
  </si>
  <si>
    <t>Stráž nad Nisou</t>
  </si>
  <si>
    <t>BORO spolek</t>
  </si>
  <si>
    <t>CK BASTR</t>
  </si>
  <si>
    <t>CrazyBalls-flyball, z. s.</t>
  </si>
  <si>
    <t>ČSS, z.s. - sportovně střelecký klub Stráž nad Nisou</t>
  </si>
  <si>
    <t>FbC ORLI Liberec</t>
  </si>
  <si>
    <t>Honební společenstvo Chrastava</t>
  </si>
  <si>
    <t>Jezdecká společnost Vydlákov, z.s.</t>
  </si>
  <si>
    <t>Leonberger klub</t>
  </si>
  <si>
    <t>Liberecký okrašlovací spolek</t>
  </si>
  <si>
    <t>MS Oldřichov-Stará dubina</t>
  </si>
  <si>
    <t>Myslivecký spolek Polomy</t>
  </si>
  <si>
    <t>Nadační fond ELIMU TRUST KENYA</t>
  </si>
  <si>
    <t>Podještědská smečka, o.s.</t>
  </si>
  <si>
    <t>SH ČMS - Sbor dobrovolných hasičů Stráž nad Nisou</t>
  </si>
  <si>
    <t>Spolek AMNIS</t>
  </si>
  <si>
    <t>Spolek Kopečáci</t>
  </si>
  <si>
    <t>Spolek občanů Stráže nad Nisou</t>
  </si>
  <si>
    <t>STRÁŽ SPOLU a pro všechny z. s.</t>
  </si>
  <si>
    <t>TJ Sokol TESLA Stráž nad Nisou, z.s.</t>
  </si>
  <si>
    <t>Základní organizace Českého zahrádkářského svazu Stráž nad Nisou</t>
  </si>
  <si>
    <t>Základní organizace Českého zahrádkářského svazu Stráž nad Nisou  Svárov</t>
  </si>
  <si>
    <t>ZO OS KOVO TI FSDS</t>
  </si>
  <si>
    <t>Airsoft military klub o.s. - 601. Skupina speciálních sil</t>
  </si>
  <si>
    <t>Stráž pod Ralskem</t>
  </si>
  <si>
    <t>Biberova společnost</t>
  </si>
  <si>
    <t>CENTRUM BUBLINKA - OTEVŘENO DĚTEM o. s.</t>
  </si>
  <si>
    <t>CK CESTOVATELSKY KLUB z.s.</t>
  </si>
  <si>
    <t>Český kynologický svaz základní kynologická organizace Jablonné v Podještědí</t>
  </si>
  <si>
    <t>Český rybářský svaz, z. s., místní organizace Stráž pod Ralskem</t>
  </si>
  <si>
    <t>Český svaz chovatelů, z.s., Základní organizace Stráž pod Ralskem</t>
  </si>
  <si>
    <t>Český svaz včelařů, z.s., základní organizace Jablonné v Podještědí</t>
  </si>
  <si>
    <t>Člověče zasměj se! z. s.</t>
  </si>
  <si>
    <t>Fotbalový Klub Stráž pod Ralskem, z.s.</t>
  </si>
  <si>
    <t>Hnutí spolupracujících škol R, z.s.</t>
  </si>
  <si>
    <t>Hornicko-historický spolek pod Ralskem</t>
  </si>
  <si>
    <t>Horolezecký klub KONDOR Stráž pod Ralskem</t>
  </si>
  <si>
    <t>Järgen family, z.s.</t>
  </si>
  <si>
    <t>Klub rekreační tělovýchovy Hamr u České Lípy, z.s.</t>
  </si>
  <si>
    <t>Klub stolního tenisu TTC a.s. Preciosa Jablonné v Podještědí, z. s.</t>
  </si>
  <si>
    <t>Klub vodních sportů Stráž pod Ralskem</t>
  </si>
  <si>
    <t>KP Stráž pod Ralskem</t>
  </si>
  <si>
    <t>Kruh přátel Domu kultury Stráž pod Ralskem</t>
  </si>
  <si>
    <t>LUTRA, z. s.</t>
  </si>
  <si>
    <t>Nezávislý odborový svaz Policie ČR, základní organizace při Akademii Vězeňské služby České republiky</t>
  </si>
  <si>
    <t>Odborová organizace s.p.DIAMO, Důl Hamr I.</t>
  </si>
  <si>
    <t>Pionýr, z. s. - pionýrská skupina Výři</t>
  </si>
  <si>
    <t>Pravoslavná církevní obec ve Stráži pod Ralskem</t>
  </si>
  <si>
    <t>Sdružení občanů domu č.p. 22 Mimoňská Stráž pod Ralskem</t>
  </si>
  <si>
    <t>Sdružení občanů domu čp.318, 319 ul.Hornická, Stráž pod Ralskem</t>
  </si>
  <si>
    <t>Sdružení odborových organizací DIAMO s.p.</t>
  </si>
  <si>
    <t>Sdružení přátel lesa</t>
  </si>
  <si>
    <t>Sdružení rodičů a přátel školy při ZŠ a MŠ Stráž pod Ralskem, z.s.</t>
  </si>
  <si>
    <t>Sdružený tenisový klub Mimoň Jablonné v Podještědí Stráž pod Ralskem z.s.</t>
  </si>
  <si>
    <t>SH ČMS - Sbor dobrovolných hasičů Stráž pod Ralskem</t>
  </si>
  <si>
    <t>SK KICKBOX Most, z.s.</t>
  </si>
  <si>
    <t>SK RALSKO BIKE z.s.</t>
  </si>
  <si>
    <t>Sportovní klub Stráž pod Ralskem</t>
  </si>
  <si>
    <t>Sportovní klub WARTEMBERSKÝ KOLÁŘ</t>
  </si>
  <si>
    <t>STRÁŽSKÁ ZÁCHRANA PAMÁTEK, z.s. V LIKVIDACI</t>
  </si>
  <si>
    <t>StrážSport z.s.</t>
  </si>
  <si>
    <t>ŠEŠULE, z. s.</t>
  </si>
  <si>
    <t>Tenisový klub Stráž pod Ralskem</t>
  </si>
  <si>
    <t>TJ PŘETEJK HAMR vodní turistika z.s.</t>
  </si>
  <si>
    <t>T.J. Uranové doly Hamr u České Lípy, z. s.</t>
  </si>
  <si>
    <t>To dáme z.s. v likvidaci</t>
  </si>
  <si>
    <t>TUDY Z NUDY Stráž pod Ralskem, z.s.</t>
  </si>
  <si>
    <t>VOJTELLA o.p.s.</t>
  </si>
  <si>
    <t>Základní odborová organizace ELPRO Stráž pod Ralskem</t>
  </si>
  <si>
    <t>Základní odborová organizace FOS PHGN ředitelství s.p.DIAMO</t>
  </si>
  <si>
    <t>Základní organizace Nezávislého odborového svazu Policie České republiky při Věznici Stráž pod Ralskem</t>
  </si>
  <si>
    <t>Základní organizace sdružení odborových organizací ředitelství s. p. DIAMO</t>
  </si>
  <si>
    <t>ZOO o.z. TÚU Stráž pod Ralskem</t>
  </si>
  <si>
    <t>ALMA VIS z.s.</t>
  </si>
  <si>
    <t>Studenec</t>
  </si>
  <si>
    <t>Charita Jilemnice</t>
  </si>
  <si>
    <t>Český svaz včelařů, z.s., základní organizace Studenec</t>
  </si>
  <si>
    <t>Honební společenstvo Čistá u Horek</t>
  </si>
  <si>
    <t>Honební společenstvo Rovně</t>
  </si>
  <si>
    <t>Honební společenstvo Studenec</t>
  </si>
  <si>
    <t>Myslivecký spolek Černý les Studenec</t>
  </si>
  <si>
    <t>Orel jednota Studenec</t>
  </si>
  <si>
    <t>POO OS TOK Tessitura Monti Cekia</t>
  </si>
  <si>
    <t>Rada rodičovské veřejnosti při ZŠ a MŠ Studenec, okres Semily, z.s.</t>
  </si>
  <si>
    <t>Římskokatolická farnost Roztoky u Jilemnice</t>
  </si>
  <si>
    <t>Římskokatolická farnost Studenec u Horek</t>
  </si>
  <si>
    <t>Římskokatolická farnost Zálesní Lhota</t>
  </si>
  <si>
    <t>SH ČMS - Sbor dobrovolných hasičů Studenec</t>
  </si>
  <si>
    <t>SH ČMS - Sbor dobrovolných hasičů Zálesní Lhota</t>
  </si>
  <si>
    <t>Sport future Studenec z.s.</t>
  </si>
  <si>
    <t>Sportovní klub Studenec, z.s.</t>
  </si>
  <si>
    <t>Stará škola v Zálesní Lhotě z.s.</t>
  </si>
  <si>
    <t>Studenečáci, cykloparta z Krkonoš, z. s.</t>
  </si>
  <si>
    <t>Tělocvičná jednota Sokol Studenec</t>
  </si>
  <si>
    <t>Tenisový klub Studenec z. s.</t>
  </si>
  <si>
    <t>TJ Sokol Zálesní Lhota, z.s.</t>
  </si>
  <si>
    <t>Myslivecký spolek KOZLY</t>
  </si>
  <si>
    <t>Stvolínky</t>
  </si>
  <si>
    <t>Myslivecký spolek Stvolínky v likvidaci</t>
  </si>
  <si>
    <t>Rozum a vzdělání z. s.</t>
  </si>
  <si>
    <t>Tělovýchovná jednota STVOLÍNKY</t>
  </si>
  <si>
    <t>Asociace revizních techniků a inspektorů,z.s.</t>
  </si>
  <si>
    <t>Svijanský Újezd</t>
  </si>
  <si>
    <t>"Beach Volleyball Club Újezd"</t>
  </si>
  <si>
    <t>SH ČMS - Sbor dobrovolných hasičů Svijanský Újezd</t>
  </si>
  <si>
    <t>Spolek zahrádkářů Svijanský Újezd</t>
  </si>
  <si>
    <t>Tenisový klub Svijanský Újezd z.s.</t>
  </si>
  <si>
    <t>Myslivecký spolek Jizera Svijany</t>
  </si>
  <si>
    <t>Svijany</t>
  </si>
  <si>
    <t>SH ČMS - Sbor dobrovolných hasičů Svijany</t>
  </si>
  <si>
    <t>SK Svijany, z.s.</t>
  </si>
  <si>
    <t>SH ČMS - Sbor dobrovolných hasičů Svojek</t>
  </si>
  <si>
    <t>Svojek</t>
  </si>
  <si>
    <t>Myslivecký Spolek HUBERTUS Svojkov</t>
  </si>
  <si>
    <t>Svojkov</t>
  </si>
  <si>
    <t>NÁRODNÍ ŠKOLA STRÁŽCŮ, z.s.</t>
  </si>
  <si>
    <t>Náš Svojkov,z.s.</t>
  </si>
  <si>
    <t>Ostružinka, z.s.</t>
  </si>
  <si>
    <t>SH ČMS - Sbor dobrovolných hasičů Svojkov</t>
  </si>
  <si>
    <t>SK Svojkov z. s.</t>
  </si>
  <si>
    <t>TATA z.s.</t>
  </si>
  <si>
    <t>Asociace TOM ČR, TOM 21123 Borůvky</t>
  </si>
  <si>
    <t>Svor</t>
  </si>
  <si>
    <t>„Brusírna o.s.</t>
  </si>
  <si>
    <t>MarketPlace Association, z.s.</t>
  </si>
  <si>
    <t>Sportovní klub Nový Bor, z.s.</t>
  </si>
  <si>
    <t>T.J. Jiskra Svor z.s.</t>
  </si>
  <si>
    <t>Českodubsko.cz, o.s.</t>
  </si>
  <si>
    <t>Světlá pod Ještědem</t>
  </si>
  <si>
    <t>Golf Club Ještěd, z. s.</t>
  </si>
  <si>
    <t>Honební společenstvo Světlá pod Ještědem - Rozstání</t>
  </si>
  <si>
    <t>Jezdecká společnost Javorník, z.s.</t>
  </si>
  <si>
    <t>MEMOART, o.p.s.</t>
  </si>
  <si>
    <t>Myslivecký spolek Rozstání - Světlá</t>
  </si>
  <si>
    <t>Nadační fond VVVtrend</t>
  </si>
  <si>
    <t>"Občanské sdružení Spravedlnost - občanská sebeobrana"</t>
  </si>
  <si>
    <t>Pěvecký sbor Světlohlásek, z. s.</t>
  </si>
  <si>
    <t>Podještědský zájmový spolek</t>
  </si>
  <si>
    <t>Sdružení rodáků a přátel kraje Karolíny Světlé, zapsaný spolek</t>
  </si>
  <si>
    <t>SH ČMS - Sbor dobrovolných hasičů Rozstání</t>
  </si>
  <si>
    <t>SH ČMS - Sbor dobrovolných hasičů Světlá pod Ještědem</t>
  </si>
  <si>
    <t>Spirála osobnosti z.s.</t>
  </si>
  <si>
    <t>Stopy v krajině, z.s.</t>
  </si>
  <si>
    <t>Tělocvičná jednota Sokol Hoření Paseky</t>
  </si>
  <si>
    <t>Tělovýchovná jednota Sokol Rozstání z.s.</t>
  </si>
  <si>
    <t>Tenisový spolek Rozstání</t>
  </si>
  <si>
    <t>Airsoft Contractors z.s.</t>
  </si>
  <si>
    <t>Sychrov</t>
  </si>
  <si>
    <t>FK BOHUMILEČ 24, z.s.</t>
  </si>
  <si>
    <t>Honební společenstvo Hodkovice nad Mohelkou</t>
  </si>
  <si>
    <t>Ivanovice proti R43</t>
  </si>
  <si>
    <t>Myslivecký spolek Sklensko</t>
  </si>
  <si>
    <t>Radostínský okrašlovací spolek, z.s.</t>
  </si>
  <si>
    <t>"Sdružení restaurátorů kulturních památek VANKOL"</t>
  </si>
  <si>
    <t>SH ČMS - Sbor dobrovolných hasičů Radostín</t>
  </si>
  <si>
    <t>SH ČMS - Sbor dobrovolných hasičů Sedlejovice</t>
  </si>
  <si>
    <t>SH ČMS - Sbor dobrovolných hasičů Vrchovina</t>
  </si>
  <si>
    <t>Stáj Dorián Vrchovina z.s.</t>
  </si>
  <si>
    <t>Telestetická společnost Sychrov</t>
  </si>
  <si>
    <t>ZO OS Prac.zem. a výživy ČR - Společný zeměděl. podnik Sychrov</t>
  </si>
  <si>
    <t>SH ČMS - Sbor dobrovolných hasičů Syřenov</t>
  </si>
  <si>
    <t>Syřenov</t>
  </si>
  <si>
    <t>SH ČMS - Sbor dobrovolných hasičů Žďár u Kumburku</t>
  </si>
  <si>
    <t>Spolek přátel Tachova</t>
  </si>
  <si>
    <t>Tachov</t>
  </si>
  <si>
    <t>Asociace TOM ČR,TOM 2101 ZÁLESÁK</t>
  </si>
  <si>
    <t>Tanvald</t>
  </si>
  <si>
    <t>Christophorum, z.s.</t>
  </si>
  <si>
    <t>COUNTRY CLUB o.s.</t>
  </si>
  <si>
    <t>CZECH STREETBALL</t>
  </si>
  <si>
    <t>Černochova bajková škola z.s.</t>
  </si>
  <si>
    <t>Český rybářský svaz, z. s., místní organizace Tanvald</t>
  </si>
  <si>
    <t>DH-FR racing Tanvald z.s.</t>
  </si>
  <si>
    <t>Federace strojvůdců České republiky, základní organizace Tanvald</t>
  </si>
  <si>
    <t>FimArt, o. s.</t>
  </si>
  <si>
    <t>Honební společenstvo Tanvald</t>
  </si>
  <si>
    <t>Jezdecký klub Tanvald, z. s.</t>
  </si>
  <si>
    <t>"Jizeran"</t>
  </si>
  <si>
    <t>Klub českých turistů Tanvald</t>
  </si>
  <si>
    <t>Kolej-klub, z.s.</t>
  </si>
  <si>
    <t>MotorGate z.s.</t>
  </si>
  <si>
    <t>MuTan, z. s.</t>
  </si>
  <si>
    <t>Myslivecký spolek Tanvald</t>
  </si>
  <si>
    <t>Odborové sdružení železničářů,ZO žel.stanice</t>
  </si>
  <si>
    <t>Okresní sdružení - Česká lékárnická komora</t>
  </si>
  <si>
    <t>Rodinné centrum Maják, z. s.</t>
  </si>
  <si>
    <t>ROMA TANVALD z. s.</t>
  </si>
  <si>
    <t>Romany art workshop z.s.</t>
  </si>
  <si>
    <t>Římskokatolická farnost Albrechtice v Jizerských horách</t>
  </si>
  <si>
    <t>Římskokatolická farnost Josefův Důl (Údol sv. Josefa)</t>
  </si>
  <si>
    <t>Římskokatolická farnost Smržovka</t>
  </si>
  <si>
    <t>Římskokatolická farnost Šumburk nad Desnou (Tanvald)</t>
  </si>
  <si>
    <t>Římskokatolická farnost Tanvald</t>
  </si>
  <si>
    <t>Římskokatolická farnost Velké Hamry</t>
  </si>
  <si>
    <t>Sbor dobrovolných hasičů Žďár</t>
  </si>
  <si>
    <t>Sdružení pro vzdělávání a udržitelnost</t>
  </si>
  <si>
    <t>SH ČMS - Sbor dobrovolných hasičů Horní Tanvald</t>
  </si>
  <si>
    <t>SH ČMS - Sbor dobrovolných hasičů Tanvald Šumburk</t>
  </si>
  <si>
    <t>SK Offroad Tanvald</t>
  </si>
  <si>
    <t>SK SUBI Off Road team</t>
  </si>
  <si>
    <t>SKS TSRT ČR - D.C.G. Smržovka</t>
  </si>
  <si>
    <t>Soukromý klub Euthanasie z.s.</t>
  </si>
  <si>
    <t>"Spolek Bonsai - spolek přátel asijských bojových umění"</t>
  </si>
  <si>
    <t>Sportovní klub SUBI RACING TEAM</t>
  </si>
  <si>
    <t>Sportovní klub Trial Tanvald</t>
  </si>
  <si>
    <t>Studentský klub při OA Tanvald, o.s.</t>
  </si>
  <si>
    <t>Svatý Petr, spolek</t>
  </si>
  <si>
    <t>TanDeM Kryšpín, z.s.</t>
  </si>
  <si>
    <t>"Tanvald 21. Století z. s."</t>
  </si>
  <si>
    <t>Tělocvičná jednota Sokol Český Šumburk</t>
  </si>
  <si>
    <t>Tělovýchovná jednota Jiskra Tanvald, z.s.</t>
  </si>
  <si>
    <t>Tělovýchovná jednota RO Tanvald, z.s.</t>
  </si>
  <si>
    <t>Tenis Tanvald, z.s.</t>
  </si>
  <si>
    <t>TJ AZ Tanvald</t>
  </si>
  <si>
    <t>TJ Tanvald z.s.</t>
  </si>
  <si>
    <t>TRIALSPORT TANVALD klub v AČR</t>
  </si>
  <si>
    <t>Win 4 You, z.s., v likvidaci</t>
  </si>
  <si>
    <t>Zachraňme tanvaldské kostely z.s.</t>
  </si>
  <si>
    <t>Základní organizace Českého zahrádkářského svazu Tanvald III</t>
  </si>
  <si>
    <t>ZO OS státních orgánů a organizací Městský úřad Tanvald</t>
  </si>
  <si>
    <t>ZUBAČKA, z. s.</t>
  </si>
  <si>
    <t>Železniční společnost Tanvald o.p.s.</t>
  </si>
  <si>
    <t>HC Tatobity z.s.</t>
  </si>
  <si>
    <t>Tatobity</t>
  </si>
  <si>
    <t>HONEBNÍ SPOLEČENSTVO TATOBITY-LESTKOV</t>
  </si>
  <si>
    <t>Junák - český skaut, středisko Lípa Tatobity, z. s.</t>
  </si>
  <si>
    <t>Myslivecký spolek Radostná-Tatobity, z.s.</t>
  </si>
  <si>
    <t>Občanský spolek Dědina</t>
  </si>
  <si>
    <t>Selská jízda Český ráj - Turnov, z.s.</t>
  </si>
  <si>
    <t>SH ČMS - Sbor dobrovolných hasičů Tatobity</t>
  </si>
  <si>
    <t>SH ČMS - Sbor dobrovolných hasičů Žlábek</t>
  </si>
  <si>
    <t>SPOLEK DIVADELNÍCH OCHOTNÍKŮ MÁJ 1867 TATOBITY z.s.</t>
  </si>
  <si>
    <t>Spolek Tisovka z.s.</t>
  </si>
  <si>
    <t>Spolek Žlábek - Vrcha z.s.</t>
  </si>
  <si>
    <t>TĚLOCVIČNÁ JEDNOTA SOKOL TATOBITY</t>
  </si>
  <si>
    <t>Základní organizace Českého zahrádkářského svazu Tatobity</t>
  </si>
  <si>
    <t>1.FC TATOBITY</t>
  </si>
  <si>
    <t>Asociace za práva občanů a podnikatelů, z. s.</t>
  </si>
  <si>
    <t>Troskovice</t>
  </si>
  <si>
    <t>Český ráj, z. ú.</t>
  </si>
  <si>
    <t>Hnutí občanů a podnikatelů</t>
  </si>
  <si>
    <t>Pro obec Troskovice, občanské sdružení v likvidaci</t>
  </si>
  <si>
    <t>SH ČMS - Sbor dobrovolných hasičů Troskovice</t>
  </si>
  <si>
    <t>SK Český ráj, z.s.</t>
  </si>
  <si>
    <t>Honební společenstvo Tuhaň</t>
  </si>
  <si>
    <t>Tuhaň</t>
  </si>
  <si>
    <t>MS ČAP TUHAŇ, z.s.</t>
  </si>
  <si>
    <t>Myslivecký spolek Hubert Tuhaň z.s.</t>
  </si>
  <si>
    <t>Spolek akčních Tuhaňáků</t>
  </si>
  <si>
    <t>Tělovýchovná jednota Sokol Tuhaň z.s.</t>
  </si>
  <si>
    <t>ABT Česana Rohozec z. s.</t>
  </si>
  <si>
    <t>Turnov</t>
  </si>
  <si>
    <t>AC Turnov, z.s.</t>
  </si>
  <si>
    <t>Alternativa 3000  z.s.</t>
  </si>
  <si>
    <t>AnarchiA Music  z. s.</t>
  </si>
  <si>
    <t>Archeko, z.s.</t>
  </si>
  <si>
    <t>Asociace TOM ČR, TOM 19115 MÁCI</t>
  </si>
  <si>
    <t>Automotoklub Střelnice Turnov v AČR</t>
  </si>
  <si>
    <t>BLACK CATTLE MC Turnov v likvidaci</t>
  </si>
  <si>
    <t>Brána her o.s. v likvidaci</t>
  </si>
  <si>
    <t>CARMINA Turnov, o. p. s.</t>
  </si>
  <si>
    <t>Centrum pro rodinu Náruč, z.ú.</t>
  </si>
  <si>
    <t>Clasic Tenis Club z.s.</t>
  </si>
  <si>
    <t>COMENIA Turnov, o.p.s.</t>
  </si>
  <si>
    <t>COMPAS consortium, o. p. s.</t>
  </si>
  <si>
    <t>Ostatní výzkum a vývoj v oblasti přírodních a technických věd</t>
  </si>
  <si>
    <t>Czech Glass Association z.s.</t>
  </si>
  <si>
    <t>Czech Lions Academy z.s.</t>
  </si>
  <si>
    <t>Česká asociace tance v likvidaci</t>
  </si>
  <si>
    <t>Česká lékařská komora se sídlem v Olomouci, okresní sdružení Semily</t>
  </si>
  <si>
    <t>Český kynologický svaz ZKO Jenišovice - 318</t>
  </si>
  <si>
    <t>Český kynologický svaz ZKO Turnov - 374</t>
  </si>
  <si>
    <t>Český kynologický svaz ZKO Žďárek-1017</t>
  </si>
  <si>
    <t>Český rybářský svaz, z. s., místní organizace Turnov</t>
  </si>
  <si>
    <t>Český svaz chovatelů, z.s., Okresní organizace Semily</t>
  </si>
  <si>
    <t>Český svaz chovatelů, z.s., Základní organizace Turnov 1</t>
  </si>
  <si>
    <t>Český svaz ochránců přírody Pro - Africa o.s.</t>
  </si>
  <si>
    <t>Český svaz včelařů, z.s., okresní organizace Semily</t>
  </si>
  <si>
    <t>Český svaz včelařů, z.s., základní organizace Turnov</t>
  </si>
  <si>
    <t>ČMUKAŘI z.s.</t>
  </si>
  <si>
    <t>ČSS, z.s. - sportovně střelecký klub Jílové</t>
  </si>
  <si>
    <t>DIVADLO TURNOV z. s.</t>
  </si>
  <si>
    <t>Dobrá zpráva pro ČR, z.s.</t>
  </si>
  <si>
    <t>Duo BigBand, z.s.</t>
  </si>
  <si>
    <t>ENSEMBLE MARTINŮ, z.s.</t>
  </si>
  <si>
    <t>Extreme Club, z.s.</t>
  </si>
  <si>
    <t>FK Turnov z.s.</t>
  </si>
  <si>
    <t>FOKUS Turnov, z.s.</t>
  </si>
  <si>
    <t>Fotoklub Safír Turnov, z.s.</t>
  </si>
  <si>
    <t>Geopark Český ráj o.p.s.</t>
  </si>
  <si>
    <t>Gymnazisté pro rozvoj hudebně-kulturního života, občanské sdružení</t>
  </si>
  <si>
    <t>HAPPY DANCE z.s.</t>
  </si>
  <si>
    <t>HC Turnov 1931, z.s.</t>
  </si>
  <si>
    <t>Hexes without hedges, z.s., - v likvidaci</t>
  </si>
  <si>
    <t>Honební společenstvo Přepeře</t>
  </si>
  <si>
    <t>Honební společenstvo Turnov - Vesecko</t>
  </si>
  <si>
    <t>Jablečná, z.s.</t>
  </si>
  <si>
    <t>"JALLA o.s." v likvidaci</t>
  </si>
  <si>
    <t>Jezdecký klub Turnov, z.s.</t>
  </si>
  <si>
    <t>Junák - český skaut, středisko Štika Turnov, z. s.</t>
  </si>
  <si>
    <t>Karavela Montessori Turnov z.s.</t>
  </si>
  <si>
    <t>Károvský kopec, z.s.</t>
  </si>
  <si>
    <t>Klub českých turistů Sokol Turnov</t>
  </si>
  <si>
    <t>Klub lyžařů Turnov, z.s.</t>
  </si>
  <si>
    <t>Klub přátel železnic Českého ráje, z. s.</t>
  </si>
  <si>
    <t>Klub vojáků v záloze Turnov</t>
  </si>
  <si>
    <t>Komora ekologických specialistů, z.s.</t>
  </si>
  <si>
    <t>Komunitní centrum Lezecký ráj, z.ú.</t>
  </si>
  <si>
    <t>KONTAKT - sdružení fotografů Euroregionu NISA, z.s.</t>
  </si>
  <si>
    <t>Křelina CAR, spolek</t>
  </si>
  <si>
    <t>Kulturnov, z.s.</t>
  </si>
  <si>
    <t>Lesní klub Skaláček - pobočný spolek SEV Český ráj, z.s.</t>
  </si>
  <si>
    <t>LS Na Židli zapsaný spolek</t>
  </si>
  <si>
    <t>Mastro Defence System CZ, z. s.</t>
  </si>
  <si>
    <t>Metal for Hope, z.s., v likvidaci</t>
  </si>
  <si>
    <t>Mezinárodní Romské sdružení pro ochranu práv národnostních menšin v likvidaci</t>
  </si>
  <si>
    <t>Modrý kocour z.s.</t>
  </si>
  <si>
    <t>Musica Fortuna, z.s.</t>
  </si>
  <si>
    <t>My Father´s House, z.s.</t>
  </si>
  <si>
    <t>Myslivecká společnost VESECKO, z.s.</t>
  </si>
  <si>
    <t>Náboženská obec Církve československé husitské v Turnově</t>
  </si>
  <si>
    <t>NADACE AB</t>
  </si>
  <si>
    <t>Nadační fond Gymnasia Turnov</t>
  </si>
  <si>
    <t>Nadační fond Most ke vzdělání</t>
  </si>
  <si>
    <t>Nadační fond PRK Turnov</t>
  </si>
  <si>
    <t>NAKAFRÁNO, z.s.</t>
  </si>
  <si>
    <t>NOTDIS, z.s.</t>
  </si>
  <si>
    <t>Občanské sdružení Arica v likvidaci</t>
  </si>
  <si>
    <t>Občanské sdružení FK Turnov v likvidaci</t>
  </si>
  <si>
    <t>Ochrana Klokočských skal, z. s.</t>
  </si>
  <si>
    <t>Ochranovský sbor při Českobratrské církvi evangelické v Turnově</t>
  </si>
  <si>
    <t>Ochranovský seniorát při Českobratrské církvi evangelické (Česká misijní provincie Unitas fratrum)</t>
  </si>
  <si>
    <t>Odborová organizace Grupo Antolin Turnov</t>
  </si>
  <si>
    <t>Okresní rada Asociace školních sportovních klubů České republiky Semily, pobočný spolek</t>
  </si>
  <si>
    <t>Okresní svaz stolního tenisu Semily, z.s.</t>
  </si>
  <si>
    <t>Orel jednota Turnov</t>
  </si>
  <si>
    <t>OS ŽELEZNIČÁŘŮ - ZO ČD ŽELEZNIČNÍ STANICE TURNOV</t>
  </si>
  <si>
    <t>Outdoor sport Český ráj, z.s.</t>
  </si>
  <si>
    <t>Paměť Českého ráje a Podještědí z.s.</t>
  </si>
  <si>
    <t>Paradise v likvidaci</t>
  </si>
  <si>
    <t>Pekařova společnost Českého ráje, z. s.</t>
  </si>
  <si>
    <t>PlavemTu, z.s.</t>
  </si>
  <si>
    <t>Pomoc pro Kanday o.s. v likvidaci</t>
  </si>
  <si>
    <t>Pomocné ruce, z.s.</t>
  </si>
  <si>
    <t>POVYK, z.s.</t>
  </si>
  <si>
    <t>Pozemkový spolek NATIVE, o.s. v likvidaci</t>
  </si>
  <si>
    <t>PRO TURNOV OTEVŘENÝ z.s.</t>
  </si>
  <si>
    <t>Programy do voleb, z. s.</t>
  </si>
  <si>
    <t>První nezávislé vegetariánské sdružení v Turnově v likvidaci</t>
  </si>
  <si>
    <t>Region Český ráj, o.p.s.</t>
  </si>
  <si>
    <t>Rohozecký okrašlovací spolek, z.s.</t>
  </si>
  <si>
    <t>Rustymonde z.s.</t>
  </si>
  <si>
    <t>Římskokatolická farnost - děkanství Turnov</t>
  </si>
  <si>
    <t>Římskokatolická farnost Jenišovice</t>
  </si>
  <si>
    <t>Sbor Církve adventistů sedmého dne Turnov</t>
  </si>
  <si>
    <t>Sbor Jednoty bratrské v Turnově</t>
  </si>
  <si>
    <t>Sbor Křesťanské společenství Turnov</t>
  </si>
  <si>
    <t>Sdružení Český ráj, z.s.</t>
  </si>
  <si>
    <t>Sdružení občanů Nudvojovic z.s.</t>
  </si>
  <si>
    <t>Sdružení rodičů a přátel dětí školy při ZŠ Turnov, 28. října 18, z. s.</t>
  </si>
  <si>
    <t>Sdružení rodičů a přátel Obchodní akademie, Hotelové školy a Střední odborné školy v Turnově, v likvidaci</t>
  </si>
  <si>
    <t>SDRUŽ.RODIČŮ A PŘ.DĚTÍ-ŠK.CHATA PŘI GYMN. A 1.ZŠ v likvidaci</t>
  </si>
  <si>
    <t>SH ČMS - Sbor dobrovolných hasičů Bukovina u Dolánek</t>
  </si>
  <si>
    <t>SH ČMS - Sbor dobrovolných hasičů Daliměřice</t>
  </si>
  <si>
    <t>SH ČMS - Sbor dobrovolných hasičů Kadeřavec</t>
  </si>
  <si>
    <t>SH ČMS - Sbor dobrovolných hasičů Mašov</t>
  </si>
  <si>
    <t>SH ČMS - Sbor dobrovolných hasičů Pelešany</t>
  </si>
  <si>
    <t>SH ČMS - Sbor dobrovolných hasičů Turnov</t>
  </si>
  <si>
    <t>Skautské středisko Turnov, z.s.</t>
  </si>
  <si>
    <t>SKI club Turnov z.s.</t>
  </si>
  <si>
    <t>Ski klub Jizerky, z. s.</t>
  </si>
  <si>
    <t>SLUNCE VŠEM, zapsaný spolek</t>
  </si>
  <si>
    <t>Spolek absolventů a přátel Obchodní akademie a hotelové školy Turnov z. ú.</t>
  </si>
  <si>
    <t>Spolek absolventů a přátel OHS Turnov z.s.</t>
  </si>
  <si>
    <t>Spolek IMUZA</t>
  </si>
  <si>
    <t>Spolek pro rozvoj kultury v Českém ráji, z.s.</t>
  </si>
  <si>
    <t>Spolek pro svobodné vzdělávání</t>
  </si>
  <si>
    <t>Spolek přátel hudebního festivalu Dvořákův Turnov a Sychrov</t>
  </si>
  <si>
    <t>Spolek přátel Muzea Českého ráje v Turnově, z.s.</t>
  </si>
  <si>
    <t>Spolek přátel SUPŠ Turnov</t>
  </si>
  <si>
    <t>Spolek přátel waldorfské mateřské školy</t>
  </si>
  <si>
    <t>Spolek rodáků a přátel Turnova z.s.</t>
  </si>
  <si>
    <t>Spolek rodičů a přátel hokejové mládeže Turnov, z.s.</t>
  </si>
  <si>
    <t>"Spolek rodičů a přátel školy" při Střední zdravotnické škole Turnov</t>
  </si>
  <si>
    <t>Spolek rodičů a přátel školy při Základní škole Turnov, Skálova 600, okres Semily z.s.</t>
  </si>
  <si>
    <t>Spolek Za zákaz manipulace lidské nervové soustavy radiofrekvenčním zářením</t>
  </si>
  <si>
    <t>Spolek Žižkovka</t>
  </si>
  <si>
    <t>SPORTINLINE, z.s.</t>
  </si>
  <si>
    <t>„Sportovně střelecký spolek Radčice“</t>
  </si>
  <si>
    <t>Sportovní klub CRS, z. s.</t>
  </si>
  <si>
    <t>Sportovní klub stolního tenisu Star Sokol Turnov, z.s.</t>
  </si>
  <si>
    <t>Sportovní střelecký klub Malý Rohozec, z.s.</t>
  </si>
  <si>
    <t>Stáj Linhart v likvidaci</t>
  </si>
  <si>
    <t>Statek Veberovi z. s.</t>
  </si>
  <si>
    <t>Strašnické divadlo z. s.</t>
  </si>
  <si>
    <t>Strong Up raft team</t>
  </si>
  <si>
    <t>Svaz postižených civilizačními chorobami v ČR,z.s.,  základní organizace Turnov</t>
  </si>
  <si>
    <t>Svaz prodejců a opravářů motorových vozidel České republiky (SAČR), z.s.</t>
  </si>
  <si>
    <t>Svobodná odborová organizace pracovníků velkoobchodu podniku Potraviny Turnov</t>
  </si>
  <si>
    <t>"Svobodná škola umění, z.s."</t>
  </si>
  <si>
    <t>Šachový klub Achát Turnov, z. s.</t>
  </si>
  <si>
    <t>ŠK ZIKUDA Turnov, z.s.</t>
  </si>
  <si>
    <t>Tělocvičná jednota Sokol Turnov</t>
  </si>
  <si>
    <t>Tělovýchovná jednota Turnov, z.s.</t>
  </si>
  <si>
    <t>Tělovýchovně sportovní club Turnov, z. s.</t>
  </si>
  <si>
    <t>Tenisový klub Turnov, z.s.</t>
  </si>
  <si>
    <t>THC STIGA ELITES z.s.</t>
  </si>
  <si>
    <t>THEMIS</t>
  </si>
  <si>
    <t>Tradamo, z. s.</t>
  </si>
  <si>
    <t>Triga klub Turnov</t>
  </si>
  <si>
    <t>Turnoff Dogfrisbee, z. s.</t>
  </si>
  <si>
    <t>Turnov pomáhá z.s. v likvidaci</t>
  </si>
  <si>
    <t>Turnovská bohéma, z.s.</t>
  </si>
  <si>
    <t>Turnovské hudební sdružení</t>
  </si>
  <si>
    <t>Turnovský aeroklub, z.s.</t>
  </si>
  <si>
    <t>Turnovský florbal, z.s.</t>
  </si>
  <si>
    <t>Ve vodě v pohodě, občanské sdružení v likvidaci</t>
  </si>
  <si>
    <t>Výtvarníci Českého ráje, z.s.</t>
  </si>
  <si>
    <t>Výzkumný ústav progresivních technologií, z. ú.</t>
  </si>
  <si>
    <t>VZDĚLÁVACÍ CENTRUM TURNOV, o.p.s., v likvidaci</t>
  </si>
  <si>
    <t>WADF - ČAT, z.s.</t>
  </si>
  <si>
    <t>WifiTurnovNet z.s.</t>
  </si>
  <si>
    <t>Základní odborová organizace Muzea Českého ráje v Turnově Odborového svazu pracovníků kultury a ochrany přírody, v likvidaci</t>
  </si>
  <si>
    <t>Základní odborová organizace Odborového svazu státních orgánů a organizací Turnovské památky a cestovní ruch, příspěvková organizace</t>
  </si>
  <si>
    <t>Základní organizace Českého zahrádkářského svazu Turnov Kamenec</t>
  </si>
  <si>
    <t>Základní organizace Českého zahrádkářského svazu Turnov Stebenka</t>
  </si>
  <si>
    <t>Základní organizace Českomoravského odborového svazu pracovníků školství při Obchodní akademii, Hotelové škole a Střední odborné škole Turnov, Zborovská 519, příspěvková organizace</t>
  </si>
  <si>
    <t>Základní organizace Federace strojvůdců České republiky 086- Turnov</t>
  </si>
  <si>
    <t>Základní organizace Odborového svazu státních orgánů a organizací Městský úřad Turnov</t>
  </si>
  <si>
    <t>Základní organizace Odborového svazu UNIOS Stavební bytové družstvo Turnov</t>
  </si>
  <si>
    <t>Základní organizace Odborového svazu zdravotnictví a sociální péče ČR, Krajská nemocnice Liberec, Panochova nemocnice Turnov</t>
  </si>
  <si>
    <t>Základní organizace OS KOVO SAINT GOBAIN ADVANCED CERAMICS</t>
  </si>
  <si>
    <t>ZO ČSOP Bukovina</t>
  </si>
  <si>
    <t>ZO OS KOVO Grupo Antolin Turnov</t>
  </si>
  <si>
    <t>ZO OS KOVO Ontex Turnov</t>
  </si>
  <si>
    <t>ZO OS KOVO SKLOSTROJ TURNOV CZ, s.r.o. a Ing. HENRY KYNCL - SLÉVÁRNA</t>
  </si>
  <si>
    <t>ZO OS TOK JUTA 8</t>
  </si>
  <si>
    <t>ZO OS UNIOS Městská teplárenská Turnov</t>
  </si>
  <si>
    <t>ZOOS ZŠ Žižkova 518, 511 01 Turnov</t>
  </si>
  <si>
    <t>Život v rovnováze, z.s.</t>
  </si>
  <si>
    <t>3DH Turnov v likvidaci</t>
  </si>
  <si>
    <t>SH ČMS - Sbor dobrovolných hasičů Velenice</t>
  </si>
  <si>
    <t>Velenice</t>
  </si>
  <si>
    <t>Sportovní klub Velenice</t>
  </si>
  <si>
    <t>Asociace TOM ČR, TOM 20502 Liščata</t>
  </si>
  <si>
    <t>Velké Hamry</t>
  </si>
  <si>
    <t>Český svaz chovatelů, z.s., Základní organizace Velké Hamry - v likvidaci</t>
  </si>
  <si>
    <t>Český svaz včelařů, z.s., základní organizace Velké Hamry</t>
  </si>
  <si>
    <t>Delta klub - občanské sdružení Letecké amatérské asociace ČR Jablonec nad Nisou</t>
  </si>
  <si>
    <t>DŮM PRO SENIORY-ALTEJA z.s.</t>
  </si>
  <si>
    <t>ENDUROKLUB BOHDALOVICE v AČR</t>
  </si>
  <si>
    <t>Honební společenstvo Velké Hamry</t>
  </si>
  <si>
    <t>KLUB BOJOVÉHO UMĚNÍ KARATE TANVALD z.s.</t>
  </si>
  <si>
    <t>MOTOR SPORT KLUB o. s.</t>
  </si>
  <si>
    <t>Myslivecké sdružení Bárov z.s.</t>
  </si>
  <si>
    <t>Pomoc pod jednou střechou z.s.</t>
  </si>
  <si>
    <t>Ptačí pozorovatelna u Strnada z.s.</t>
  </si>
  <si>
    <t>Sdružení hasičů Čech, Moravy a Slezska - Okrsek Velké Hamry</t>
  </si>
  <si>
    <t>SDRUŽENÍ VODA HAMRSKA, z.s.</t>
  </si>
  <si>
    <t>Shromažďování, úprava a rozvod vody</t>
  </si>
  <si>
    <t>SH ČMS - Sbor dobrovolných hasičů Bohdalovice</t>
  </si>
  <si>
    <t>SH ČMS - Sbor dobrovolných hasičů Hamrska</t>
  </si>
  <si>
    <t>SH ČMS - Sbor dobrovolných hasičů Velké Hamry I</t>
  </si>
  <si>
    <t>Soshiki - klub bojových umění a sportů Tanvald, z.s.</t>
  </si>
  <si>
    <t>Spolek rodičů a přátel ZŠ Velké Hamry, z.s.</t>
  </si>
  <si>
    <t>Svaz tělesně postižených v České republice z. s. místní organizace Velké Hamry</t>
  </si>
  <si>
    <t>Tělocvičná jednota Sokol Velké Hamry I</t>
  </si>
  <si>
    <t>Tělocvičná jednota Sokol Velké Hamry II. Hamrska</t>
  </si>
  <si>
    <t>TJ Velké Hamry z.s.</t>
  </si>
  <si>
    <t>Základní organizace OSZSP ČR Domov důchodců, Velké Hamry</t>
  </si>
  <si>
    <t>MYSLIVECKÝ SPOLEK "HŮRKA" VELKÝ VALTINOV</t>
  </si>
  <si>
    <t>Velký Valtinov</t>
  </si>
  <si>
    <t>SH ČMS - Sbor dobrovolných hasičů Velký Valtinov</t>
  </si>
  <si>
    <t>spolek Mateřské centrum Sluníčko Velký Valtinov</t>
  </si>
  <si>
    <t>TJ Slavoj Velký Valtinov, z.s.</t>
  </si>
  <si>
    <t>Asociace pro podporu a rozvoj české hračky, z.ú., v likvidaci</t>
  </si>
  <si>
    <t>Veselá</t>
  </si>
  <si>
    <t>Asociace pro rozvoj obcí a měst, z. s.</t>
  </si>
  <si>
    <t>JK Farma Kotelsko, z.s.</t>
  </si>
  <si>
    <t>SH ČMS - Sbor dobrovolných hasičů Veselá</t>
  </si>
  <si>
    <t>Veselské ženy, z.s.</t>
  </si>
  <si>
    <t>Český svaz chovatel, z.s., Základní organizace Višňová</t>
  </si>
  <si>
    <t>Višňová</t>
  </si>
  <si>
    <t>Divadelní spolek Višňovský ROK</t>
  </si>
  <si>
    <t>Hnutí Andělka, o.s.</t>
  </si>
  <si>
    <t>Honební společenstvo - VIŠŇOVÁ</t>
  </si>
  <si>
    <t>Honební společenstvo Višňová - Předlánce</t>
  </si>
  <si>
    <t>IO-inteligentní odpoledne, z.s.</t>
  </si>
  <si>
    <t>Občanské sdružení Víska, z.s.</t>
  </si>
  <si>
    <t>Pieta bez hranic Višňová</t>
  </si>
  <si>
    <t>Sdružení ANDĚLKA</t>
  </si>
  <si>
    <t>Sdružení hasičů Čech, Moravy a Slezka Sbor dobrovolných hasičů Víska</t>
  </si>
  <si>
    <t>SH ČMS - Sbor dobrovolných hasičů Andělka</t>
  </si>
  <si>
    <t>SH ČMS - Sbor dobrovolných hasičů Minkovice</t>
  </si>
  <si>
    <t>SH ČMS - Sbor dobrovolných hasičů Předlánce</t>
  </si>
  <si>
    <t>SH ČMS - Sbor dobrovolných hasičů Višňová</t>
  </si>
  <si>
    <t>TJ JISKRA Višňová, z.s.</t>
  </si>
  <si>
    <t>Základní organizace odborového svazu pracovníků školství při Základní škole ve Višňové</t>
  </si>
  <si>
    <t>ZO OS TOK JUTA 6</t>
  </si>
  <si>
    <t>Modrá radost, z.s.</t>
  </si>
  <si>
    <t>Vlastiboř</t>
  </si>
  <si>
    <t>SH ČMS - Sbor dobrovolných hasičů Vlastiboř</t>
  </si>
  <si>
    <t>"Jívina klub v likvidaci"</t>
  </si>
  <si>
    <t>Vlastibořice</t>
  </si>
  <si>
    <t>Myslivecký spolek Hlubočice</t>
  </si>
  <si>
    <t>Sedlíšťáci, z.s.</t>
  </si>
  <si>
    <t>SH ČMS - Sbor dobrovolných hasičů Vlastibořice</t>
  </si>
  <si>
    <t>Spolek CRAZY SNAILS CZECH</t>
  </si>
  <si>
    <t>Tělocvičná jednota Sokol Vlastibořice</t>
  </si>
  <si>
    <t>Terapeutický kůň z. s.</t>
  </si>
  <si>
    <t>Tvořivá logopedie z.s.</t>
  </si>
  <si>
    <t>1. JV Vlastibořice</t>
  </si>
  <si>
    <t>Koukol v obilí, z.s.</t>
  </si>
  <si>
    <t>Volfartice</t>
  </si>
  <si>
    <t>SDRUŽENÍ EKOKRAJINA NATURA</t>
  </si>
  <si>
    <t>SLUNOVRAT Volfartice, z.s.</t>
  </si>
  <si>
    <t>Tělovýchovná jednota Sokol Volfartice</t>
  </si>
  <si>
    <t>Chov koní Vrchovany, o.s.</t>
  </si>
  <si>
    <t>Vrchovany</t>
  </si>
  <si>
    <t>Honební společenstvo Chlum - Drchlava</t>
  </si>
  <si>
    <t>JS Vrchovany z. s.</t>
  </si>
  <si>
    <t>Karate klub Beringin, z.s.</t>
  </si>
  <si>
    <t>Snížit kultuře práh z. s.</t>
  </si>
  <si>
    <t>AUTOMOTO KLUB VYSKEŘ V AČR</t>
  </si>
  <si>
    <t>Vyskeř</t>
  </si>
  <si>
    <t>DĚTI Z RÁJE,občanské sdružení v likvidaci</t>
  </si>
  <si>
    <t>HONEBNÍ SPOLEČENTSVO VYSKEŘ</t>
  </si>
  <si>
    <t>Myslivecké sdružení Vyskeř z.s.</t>
  </si>
  <si>
    <t>Občanské sdružení přátel Vyskře v likvidaci</t>
  </si>
  <si>
    <t>SH ČMS - Sbor dobrovolných hasičů Vyskeř</t>
  </si>
  <si>
    <t>Spolek přátel Mladostova, z.s.</t>
  </si>
  <si>
    <t>TJ Sokol Vyskeř, z.s.</t>
  </si>
  <si>
    <t>Územní organizace svazu diabetiků ČR Turnov</t>
  </si>
  <si>
    <t>ŽIVOT NA VSI, spolek</t>
  </si>
  <si>
    <t>Divadelní spolek Krakonoš</t>
  </si>
  <si>
    <t>Vysoké nad Jizerou</t>
  </si>
  <si>
    <t>HONEBNÍ SPOLEČENSTVO VYSOKÉ NAD JIZEROU</t>
  </si>
  <si>
    <t>Honební společenstvo Vysoké nad Jizerou - Šachty</t>
  </si>
  <si>
    <t>"ILUZE ZELENÉHO ÚDOLÍ, z.s."</t>
  </si>
  <si>
    <t>Kulturní spolek Z Vysoka</t>
  </si>
  <si>
    <t>Městečko na dlani z.s.</t>
  </si>
  <si>
    <t>Motoklub Vysoké v AČR</t>
  </si>
  <si>
    <t>Myslivecké sdružení ŠACHTY VYSOKÉ NAD JIZEROU, z.s.</t>
  </si>
  <si>
    <t>Myslivecký spolek Kalifornie</t>
  </si>
  <si>
    <t>Náboženská obec Církve československé husitské ve Vysokém nad Jizerou</t>
  </si>
  <si>
    <t>Občanské sdružení Větrov, z.s.</t>
  </si>
  <si>
    <t>Prameny Jizery, o.s. v likvidaci</t>
  </si>
  <si>
    <t>Římskokatolická farnost Vysoké nad Jizerou</t>
  </si>
  <si>
    <t>Sdružení přátel ISŠ Vysoké nad Jizerou, z. s.</t>
  </si>
  <si>
    <t>Sdružení rodičů a přátel Rodinné školy, Vysoké nad Jizerou v likvidaci</t>
  </si>
  <si>
    <t>SH ČMS - Sbor dobrovolných hasičů Sklenařice</t>
  </si>
  <si>
    <t>SH ČMS - Sbor dobrovolných hasičů Stará Ves</t>
  </si>
  <si>
    <t>SH ČMS - Sbor dobrovolných hasičů Tříč</t>
  </si>
  <si>
    <t>SH ČMS - Sbor dobrovolných hasičů Vysoké nad Jizerou</t>
  </si>
  <si>
    <t>Spolek sdružení hradu Nístějky</t>
  </si>
  <si>
    <t>spolek Tělovýchovná jednota Sokol Tříč</t>
  </si>
  <si>
    <t>Tělocvičná jednota Sokol Sklenařice</t>
  </si>
  <si>
    <t>Tělovýchovná jednota Sklenařice z. s.</t>
  </si>
  <si>
    <t>TJ Vysoké nad Jizerou, z. s.</t>
  </si>
  <si>
    <t>TRADICE A INOVACE o.p.s.</t>
  </si>
  <si>
    <t>Vysocká sportovní z.s.</t>
  </si>
  <si>
    <t>Ztracené kobylky, z.s.</t>
  </si>
  <si>
    <t>HONEBNÍ SPOLEČENSTVO VÍCHOVÁ NAD JIZEROU</t>
  </si>
  <si>
    <t>Víchová nad Jizerou</t>
  </si>
  <si>
    <t>Myslivecký spolek Kákov</t>
  </si>
  <si>
    <t>SH ČMS - Sbor dobrovolných hasičů Horní Sytová</t>
  </si>
  <si>
    <t>SH ČMS - Sbor dobrovolných hasičů Víchová nad Jizerou</t>
  </si>
  <si>
    <t>SH ČMS - Sbor dobrovolných hasičů Víchovská Lhota</t>
  </si>
  <si>
    <t>SPOLDŮM čp. 63 Horní Sytová, z.s.</t>
  </si>
  <si>
    <t>Tělocvičná jednota Sokol Víchová nad Jizerou</t>
  </si>
  <si>
    <t>JANOVKA, z.s.</t>
  </si>
  <si>
    <t>Vítkovice</t>
  </si>
  <si>
    <t>Myslivecký spolek Krakonoš Vítkovice</t>
  </si>
  <si>
    <t>Občané Vítkovic a sympatizanti - srdcem horalové z. s.</t>
  </si>
  <si>
    <t>SH ČMS - Sbor dobrovolných hasičů Vítkovice v Krkonoších</t>
  </si>
  <si>
    <t>SK Freestyle Area z. s.</t>
  </si>
  <si>
    <t>Spolek na ochranu přírodních a krajinných hodnot, z.s.</t>
  </si>
  <si>
    <t>Sportovní klub hraběte Jana Harracha Vítkovice, z.s.</t>
  </si>
  <si>
    <t>Tělocvičná jednota Sokol Dolní Mísečky</t>
  </si>
  <si>
    <t>Honební společenstvo VŠELIBICE</t>
  </si>
  <si>
    <t>Všelibice</t>
  </si>
  <si>
    <t>Honební společenstvo Všelibice-Benešovice</t>
  </si>
  <si>
    <t>Jestřábka z. s.</t>
  </si>
  <si>
    <t>Ještěd NET</t>
  </si>
  <si>
    <t>MS Všelibice</t>
  </si>
  <si>
    <t>Myslivecký spolek Vrtky</t>
  </si>
  <si>
    <t>Myslivecký spolek Všelibice, z.s.</t>
  </si>
  <si>
    <t>NANTIŠKOV</t>
  </si>
  <si>
    <t>SH ČMS - Sbor dobrovolných hasičů Březová</t>
  </si>
  <si>
    <t>SH ČMS - Sbor dobrovolných hasičů Vrtky</t>
  </si>
  <si>
    <t>SH ČMS - Sbor dobrovolných hasičů Všelibice</t>
  </si>
  <si>
    <t>Všelibické ženy, z.s.</t>
  </si>
  <si>
    <t>HONEBNÍ SPOLEČENSTVO VŠEŇ</t>
  </si>
  <si>
    <t>Všeň</t>
  </si>
  <si>
    <t>Jezdecký spolek Dvůr Borčice</t>
  </si>
  <si>
    <t>Letecký a modelářský klub Všeň, spolek</t>
  </si>
  <si>
    <t>Myslivecký spolek  KOZLOVY Všeň</t>
  </si>
  <si>
    <t>Na cesty za poznáním a sportem, z.s.</t>
  </si>
  <si>
    <t>SH ČMS - Sbor dobrovolných hasičů Ploukonice</t>
  </si>
  <si>
    <t>Spolek dobrovolných hasičů</t>
  </si>
  <si>
    <t>Spolek rodičů a přátel Základní školy Všeň</t>
  </si>
  <si>
    <t>Střelecké sdružení Všeň, z.s.</t>
  </si>
  <si>
    <t>T.J. SOKOL Všeň</t>
  </si>
  <si>
    <t>Asociace Amatérských Sportovců Českolipska z.s.</t>
  </si>
  <si>
    <t>Zahrádky</t>
  </si>
  <si>
    <t>DaSty z.s.</t>
  </si>
  <si>
    <t>Honební společenstvo Litice</t>
  </si>
  <si>
    <t>MS Vřísek Zahrádky</t>
  </si>
  <si>
    <t>Myslivecké sdružení „BARBORA” Zahrádky</t>
  </si>
  <si>
    <t>Sdružení občanů obce Zahrádky u České Lípy</t>
  </si>
  <si>
    <t>Sdružení pro obnovu ohněm zničeného zámku v Zahrádkách</t>
  </si>
  <si>
    <t>Sportovní klub North</t>
  </si>
  <si>
    <t>TJ SOKOL Zahrádky, z.s.</t>
  </si>
  <si>
    <t>MS Buková hora</t>
  </si>
  <si>
    <t>Zdislava</t>
  </si>
  <si>
    <t>MS KRÁSNÝ POTOK-ZDISLAVA</t>
  </si>
  <si>
    <t>MS Zdislava</t>
  </si>
  <si>
    <t>Občanské sdružení "Enviromentální škola obnovy venkova"</t>
  </si>
  <si>
    <t>Občanské sdružení KNIHOVNA ŠKOLY OBNOVY VENKOVA</t>
  </si>
  <si>
    <t>Občanské sdružení ZELENÉ ZDROJE</t>
  </si>
  <si>
    <t>Okrašlovací spolek Zdislava</t>
  </si>
  <si>
    <t>Papyrea, z.s.</t>
  </si>
  <si>
    <t>PARTNERSTVÍ PRO OBNOVU ŘEMESEL NA VENKOVĚ</t>
  </si>
  <si>
    <t>SH ČMS - Sbor dobrovolných hasičů Zdislava</t>
  </si>
  <si>
    <t>Tělovýchovná jednota Sokol Zdislava, z.s.</t>
  </si>
  <si>
    <t>Asociace TOM ČR, TOM 19076 SPT</t>
  </si>
  <si>
    <t>Zlatá Olešnice</t>
  </si>
  <si>
    <t>Český svaz včelařů, z.s., základní organizace Zlatá Olešnice</t>
  </si>
  <si>
    <t>Honební společenstvo Zlatá Olešnice</t>
  </si>
  <si>
    <t>Mistral Paragliding z.s.</t>
  </si>
  <si>
    <t>Myslivecký spolek Jelenáři</t>
  </si>
  <si>
    <t>Myslivecký spolek Zlatník Zlatá Olešnice</t>
  </si>
  <si>
    <t>REBEL CLUB NA VRŠÍCH, o.s.</t>
  </si>
  <si>
    <t>Rozcestník</t>
  </si>
  <si>
    <t>Sbor dobrovolných hasičů Stanový</t>
  </si>
  <si>
    <t>SH ČMS - Sbor dobrovolných hasičů Zlatá Olešnice</t>
  </si>
  <si>
    <t>Spolek Antala Staška</t>
  </si>
  <si>
    <t>Tělocvičná jednota Sokol Zlatá Olešnice</t>
  </si>
  <si>
    <t>TJ Sokol Lhotka</t>
  </si>
  <si>
    <t>HONEBNÍ SPOLEČENSTVO ZÁHOŘÍ U SEMIL</t>
  </si>
  <si>
    <t>Záhoří</t>
  </si>
  <si>
    <t>Mlok z lomu, z.s.</t>
  </si>
  <si>
    <t>Myslivecký spolek Společný háj Záhoří</t>
  </si>
  <si>
    <t>SH ČMS - Sbor dobrovolných hasičů Dlouhý</t>
  </si>
  <si>
    <t>SH ČMS - Sbor dobrovolných hasičů Smrčí u Semil</t>
  </si>
  <si>
    <t>Tělocvičná jednota Sokol Smrčí</t>
  </si>
  <si>
    <t>Tělovýchovná jednota Sokol Dlouhý, z.s.</t>
  </si>
  <si>
    <t>TJ Sokol Záhoří,z.s.</t>
  </si>
  <si>
    <t>Azyl Rita - spolek pro zvířata</t>
  </si>
  <si>
    <t>Zákupy</t>
  </si>
  <si>
    <t>BĚLA MOTORSPORT KLUB V AČR</t>
  </si>
  <si>
    <t>BIOTOP Šidlov</t>
  </si>
  <si>
    <t>Brennský spolek</t>
  </si>
  <si>
    <t>Čerti Zaligus, z. s.</t>
  </si>
  <si>
    <t>Český rybářský svaz, z. s., místní organizace Zákupy</t>
  </si>
  <si>
    <t>Český svaz chovatelů, z.s., Základní organizace Zákupy</t>
  </si>
  <si>
    <t>Čtyřlístek Zákupy, o. s.</t>
  </si>
  <si>
    <t>Divadelní spolek Havlíček Zákupy</t>
  </si>
  <si>
    <t>FC Kamenice z.s.</t>
  </si>
  <si>
    <t>Honební společenstvo Dobranov</t>
  </si>
  <si>
    <t>Honební společenstvo Zákupy</t>
  </si>
  <si>
    <t>Honební společenstvo Zákupy-Brenná</t>
  </si>
  <si>
    <t>Honitba Provodín</t>
  </si>
  <si>
    <t>Jezdecký klub Brenná o.s.</t>
  </si>
  <si>
    <t>Klub aktivních seniorů Zákupy, z.s.</t>
  </si>
  <si>
    <t>Klub chovatelů MODRÝCH PIKARDSKÝCH OHAŘŮ</t>
  </si>
  <si>
    <t>KLUB VOJENSKÉ HISTORIE ČESKÁ LÍPA zapsaný spolek</t>
  </si>
  <si>
    <t>KluZák o.s., klub Zákup</t>
  </si>
  <si>
    <t>KULTURA ZÁKUPY z.s.</t>
  </si>
  <si>
    <t>Myslivecké sdružení PROVODÍNSKÉ KAMENY</t>
  </si>
  <si>
    <t>Myslivecký spolek Podlesí Zákupy</t>
  </si>
  <si>
    <t>Myslivecký spolek Zákupy - Lasvice</t>
  </si>
  <si>
    <t>Občanské sdružení MITE</t>
  </si>
  <si>
    <t>Okresní rada Asociace školních sportovních klubů České republiky Česká Lípa, pobočný spolek</t>
  </si>
  <si>
    <t>Orientační klub Netopýr Zákupy, z. s.</t>
  </si>
  <si>
    <t>Římskokatolická farnost - děkanství Zákupy</t>
  </si>
  <si>
    <t>Římskokatolická farnost Brenná</t>
  </si>
  <si>
    <t>Římskokatolická farnost Velenice</t>
  </si>
  <si>
    <t>SAMMASATI.CZ z.s.</t>
  </si>
  <si>
    <t>SH ČMS - Sbor dobrovolných hasičů Zákupy</t>
  </si>
  <si>
    <t>Shotokan sport centrum o.s. - Zákupy</t>
  </si>
  <si>
    <t>Sklípek Faust, z.s.</t>
  </si>
  <si>
    <t>Společné dědictví Zákupy</t>
  </si>
  <si>
    <t>Spolek rodičů a přátel ZŠ a MŠ Zákupy, zapsaný spolek</t>
  </si>
  <si>
    <t>Sportovní klub NETOPÝR</t>
  </si>
  <si>
    <t>Sportovní stáj Chýle, z.s.</t>
  </si>
  <si>
    <t>TJ Zákupy, z. s.</t>
  </si>
  <si>
    <t>Vlastenecko dobročinná sdružená obec baráčníků Zákupy</t>
  </si>
  <si>
    <t>Základní organizace Českého zahrádkářského svazu Zákupy</t>
  </si>
  <si>
    <t>Zákupská iniciativa o.s.</t>
  </si>
  <si>
    <t>ZO OS KOVO IAC Zákupy</t>
  </si>
  <si>
    <t>Honební společenstvo Zásada</t>
  </si>
  <si>
    <t>Zásada</t>
  </si>
  <si>
    <t>Klub lyžařů České perličky</t>
  </si>
  <si>
    <t>Letci Zásada, občanské sdružení</t>
  </si>
  <si>
    <t>Myslivecký spolek Zásada</t>
  </si>
  <si>
    <t>Radioklub Zásada</t>
  </si>
  <si>
    <t>Sbor Církve adventistů sedmého dne Zásada - Zbytky</t>
  </si>
  <si>
    <t>SK ZÁSADA z.s.</t>
  </si>
  <si>
    <t>Tělocvičná jednota Sokol Zásada</t>
  </si>
  <si>
    <t>Honební společenstvo Višňová - Andělka</t>
  </si>
  <si>
    <t>Černousy</t>
  </si>
  <si>
    <t>Jezdecký klub Černousy, zapsaný spolek</t>
  </si>
  <si>
    <t>Myslivecké sdružení Předlánce - Černousy, z.s.</t>
  </si>
  <si>
    <t>Sdružení pro táborovou základnu Černousy, z.s.</t>
  </si>
  <si>
    <t>SH ČMS - Sbor dobrovolných hasičů Ves</t>
  </si>
  <si>
    <t>SK ČERNOUSY</t>
  </si>
  <si>
    <t>A KLUB, z.s.</t>
  </si>
  <si>
    <t>Česká Lípa</t>
  </si>
  <si>
    <t>Accord Music</t>
  </si>
  <si>
    <t>AEROBIC KLUB LUCIE KNOBLOCHOVÉ</t>
  </si>
  <si>
    <t>Aeroklub Česká Lípa, z. s.</t>
  </si>
  <si>
    <t>Aeroklub Vivatklub Česká Lípa</t>
  </si>
  <si>
    <t>AEROTEC Sport Team z.s.</t>
  </si>
  <si>
    <t>Agility team CL z.s.</t>
  </si>
  <si>
    <t>Akredika o.p.s.</t>
  </si>
  <si>
    <t>AKTIVNÍ GENERACE ČL z. s.</t>
  </si>
  <si>
    <t>ARBOR - spolek pro duchovní kulturu</t>
  </si>
  <si>
    <t>Asociace finančních poradců</t>
  </si>
  <si>
    <t>“Asociace personalistek a HR manažerek”</t>
  </si>
  <si>
    <t>Asociace podnikatelů a manažerů, z.s.</t>
  </si>
  <si>
    <t>Asociace TOM ČR, TOM 1007 CHIPPEWA</t>
  </si>
  <si>
    <t>Asociace TOM ČR, TOM 19197 DAKOTI</t>
  </si>
  <si>
    <t>Asociace turistických oddílů mládeže ČR, TOM 9952 Rytíři Lužických hvozdů</t>
  </si>
  <si>
    <t>Asociace železničního opravárenství a průmyslu</t>
  </si>
  <si>
    <t>ATHLETIC CLUB Česká Lípa, z.s.</t>
  </si>
  <si>
    <t>AUTO RACING CLUB Kamenický Šenov</t>
  </si>
  <si>
    <t>AutoHifi Club CZ</t>
  </si>
  <si>
    <t>AUTOKLUB IFC VELIMEX RACING</t>
  </si>
  <si>
    <t>AUTO-MOTO-KLUB SLOVANKA, ČESKÁ LÍPA v AČR</t>
  </si>
  <si>
    <t>AVIATIK KLUB Česká Lípa z.s. Letiště Ramš</t>
  </si>
  <si>
    <t>Barokní Zákupsko, z. ú.</t>
  </si>
  <si>
    <t>„Base261“</t>
  </si>
  <si>
    <t>Basketbalový klub Česká Lípa, z.s.</t>
  </si>
  <si>
    <t>BIG BAND CL, z.s.</t>
  </si>
  <si>
    <t>Bikes for Life, z. s.</t>
  </si>
  <si>
    <t>B-Pole Studio, z.s.</t>
  </si>
  <si>
    <t>Brankářská škola CL z.s.</t>
  </si>
  <si>
    <t>BROZ a.k.Česká Lípa</t>
  </si>
  <si>
    <t>Bydlení u sv. ANNY, z. s.</t>
  </si>
  <si>
    <t>Carp Team CL</t>
  </si>
  <si>
    <t>Cech taxi Česká Lípa</t>
  </si>
  <si>
    <t>Centrum celostního zdraví Empatia o.s.</t>
  </si>
  <si>
    <t>Centrum celoživotního vzdělávání Amber, z.s.</t>
  </si>
  <si>
    <t>Charita Česká Lípa</t>
  </si>
  <si>
    <t>Chatová osada Kvítkov-Podolí, z.s.</t>
  </si>
  <si>
    <t>CL Poker club, občanské sdružení</t>
  </si>
  <si>
    <t>CL Sport z. s.</t>
  </si>
  <si>
    <t>CLU3V z.s.</t>
  </si>
  <si>
    <t>CONTINENTAL ČESKÁ LÍPA</t>
  </si>
  <si>
    <t>Cyklistický klub KVAPIL Česká Lípa</t>
  </si>
  <si>
    <t>Česká lékařská komora se sídlem v Olomouci, okresní sdružení Česká Lípa</t>
  </si>
  <si>
    <t>Česká membránová platforma, z.s.</t>
  </si>
  <si>
    <t>Česká numismatická společnost, z.s. pobočka v České Lípě</t>
  </si>
  <si>
    <t>Česká společnost pomoci dětem Tilia</t>
  </si>
  <si>
    <t>ČESKÁ TLAMA - adrenaline sports team</t>
  </si>
  <si>
    <t>Českolipská florbalová akademie z. s.</t>
  </si>
  <si>
    <t>Českolipská Vesna, spolek onkologických pacientů a přátel</t>
  </si>
  <si>
    <t>Českolipský dětský sbor, z.s.</t>
  </si>
  <si>
    <t>Českolipský komorní sbor</t>
  </si>
  <si>
    <t>Českolipský pěvecký sbor, z.s.</t>
  </si>
  <si>
    <t>Českolipský spolek sportovních aktivit</t>
  </si>
  <si>
    <t>ČESKOLIPSKÝ VETERAN CAR CLUB z.s.</t>
  </si>
  <si>
    <t>Českomoravská myslivecká jednota, z.s., okresní myslivecký spolek Česká Lípa</t>
  </si>
  <si>
    <t>Český Banát z.s.</t>
  </si>
  <si>
    <t>Český kynologický svaz ZKO - Česká Lípa - Slovanka - 472</t>
  </si>
  <si>
    <t>Český kynologický svaz ZKO Česká Lípa-Obecní les - 343</t>
  </si>
  <si>
    <t>Český rybářský svaz, z. s., místní organizace Česká Lípa</t>
  </si>
  <si>
    <t>Český svaz chovatelů, z.s., Okresní organizace Česká Lípa</t>
  </si>
  <si>
    <t>Český svaz chovatelů, z.s., Základní organizace Česká Lípa</t>
  </si>
  <si>
    <t>Český svaz karate FSKA z.s.</t>
  </si>
  <si>
    <t>Český svaz ochránců přírody CYGNUS</t>
  </si>
  <si>
    <t>Český svaz včelařů, z.s., okresní organizace Česká Lípa</t>
  </si>
  <si>
    <t>Český svaz včelařů, z.s., základní organizace Česká Lípa</t>
  </si>
  <si>
    <t>ČSS, z.s. - Sportovně střelecký klub Manušice</t>
  </si>
  <si>
    <t>ČSS, z.s. - sportovně střelecký klub Střelci CL</t>
  </si>
  <si>
    <t>ČSS, z.s. - sportovně střelecký klub 3. Uliční Česká Lípa</t>
  </si>
  <si>
    <t>Dámský klub Česká Lípa, v likvidaci</t>
  </si>
  <si>
    <t>DEMI</t>
  </si>
  <si>
    <t>Dětský smích z.s.</t>
  </si>
  <si>
    <t>Divadelní klub Jirásek, z.s.</t>
  </si>
  <si>
    <t>DOMA JE HEZKY, o.s.</t>
  </si>
  <si>
    <t>Dráček Česká Lípa z.s.</t>
  </si>
  <si>
    <t>Dressage Česká Lípa z. s.</t>
  </si>
  <si>
    <t>Drobné památky severních Čech z.s.</t>
  </si>
  <si>
    <t>EASTERN - občanské sdružení pro podporu a rozvoj výtvarného a kulturního života v České Lípě</t>
  </si>
  <si>
    <t>eBRÁNA</t>
  </si>
  <si>
    <t>EERINESS, z. s.</t>
  </si>
  <si>
    <t>Egalita, z.s.</t>
  </si>
  <si>
    <t>"EGO, o.s."</t>
  </si>
  <si>
    <t>ELEKTROTECHNICKÝ CECH Česká Lípa, z.s.</t>
  </si>
  <si>
    <t>ELIPSA - letecký klub - občanské sdružení - Letecké amatérské asociace České republiky Česká Lípa</t>
  </si>
  <si>
    <t>Enliven Centre, z.s.</t>
  </si>
  <si>
    <t>Erudio, o.s.</t>
  </si>
  <si>
    <t>ESO 97</t>
  </si>
  <si>
    <t>ESO 98</t>
  </si>
  <si>
    <t>EURECA o.s.</t>
  </si>
  <si>
    <t>EUREDA o.s.</t>
  </si>
  <si>
    <t>Experance, z.s.</t>
  </si>
  <si>
    <t>faberi Bellatores o.s.</t>
  </si>
  <si>
    <t>Farní sbor Českobratrské církve evangelické v České Lípě</t>
  </si>
  <si>
    <t>FC BOHEMIA ČESKÁ LÍPA</t>
  </si>
  <si>
    <t>FC Démoni Česká Lípa z.s.</t>
  </si>
  <si>
    <t>FC Mapa Česká Lípa, občanské sdružení</t>
  </si>
  <si>
    <t>FIRST RESPONDER - ZÁCHRANÁŘI ČESKÁ LÍPA z.s.</t>
  </si>
  <si>
    <t>FK Arsenal Česká Lípa,z.s.</t>
  </si>
  <si>
    <t>FK Dukla Česká Lípa</t>
  </si>
  <si>
    <t>FK Noviny Pod Ralskem</t>
  </si>
  <si>
    <t>Floorball Club Česká Lípa z.s.</t>
  </si>
  <si>
    <t>Fortuna in natura, z.s.</t>
  </si>
  <si>
    <t>FREEDOM 74 z.s.</t>
  </si>
  <si>
    <t>Futsalový svaz oblasti A</t>
  </si>
  <si>
    <t>GRADUS</t>
  </si>
  <si>
    <t>„Guenevera o.s.”</t>
  </si>
  <si>
    <t>Hasiči Česká republika, Krajský územní odbor Libereckého kraje</t>
  </si>
  <si>
    <t>Hasiči Česká republika, Sbor Dobrovolných hasičů Česká Lípa</t>
  </si>
  <si>
    <t>HAUVÍCI z.s.</t>
  </si>
  <si>
    <t>HC BARAKUDY ČESKÁ LÍPA</t>
  </si>
  <si>
    <t>HC REAL, z.s.</t>
  </si>
  <si>
    <t>Hela Helps Animals z.s.</t>
  </si>
  <si>
    <t>Historie hrou</t>
  </si>
  <si>
    <t>Hokejbalový klub HBC - DELFÍNI Česká Lípa</t>
  </si>
  <si>
    <t>Hokejový kemp CL, z.s.</t>
  </si>
  <si>
    <t>Hokejový klub Česká Lípa, z.s.</t>
  </si>
  <si>
    <t>Honební společenstvo Chotovice - Pihel</t>
  </si>
  <si>
    <t>Honební společenstvo Cvikov Zelený vrch</t>
  </si>
  <si>
    <t>Honební společenstvo Česká Lípa - Žizníkov</t>
  </si>
  <si>
    <t>Honební společenstvo Kozly</t>
  </si>
  <si>
    <t>Honební společenstvo Kvítkov - Babylon</t>
  </si>
  <si>
    <t>Honební společenstvo Sloup</t>
  </si>
  <si>
    <t>Honební společenstvo Zahrádky - Šváby</t>
  </si>
  <si>
    <t>Hop, Hop</t>
  </si>
  <si>
    <t>Horizont HG 2014, z.ú.</t>
  </si>
  <si>
    <t>Horolezecký klub GEODET Česká Lípa</t>
  </si>
  <si>
    <t>Husitské centrum Česká Republika</t>
  </si>
  <si>
    <t>Hýrou Fektory z. s.</t>
  </si>
  <si>
    <t>Jezdecký klub K.M.Smart</t>
  </si>
  <si>
    <t>Jezdecký klub STAR Česká Lípa</t>
  </si>
  <si>
    <t>Jezdecký klub Tequila Ranch Lindava</t>
  </si>
  <si>
    <t>JSCL, z. s.</t>
  </si>
  <si>
    <t>JUDO Česká Lípa, z.s.</t>
  </si>
  <si>
    <t>Junák - český skaut, středisko Řetěz Česká Lípa, z. s.</t>
  </si>
  <si>
    <t>Kapka Pomoci</t>
  </si>
  <si>
    <t>KARATE SPORT RELAX z.s.</t>
  </si>
  <si>
    <t>Kartounky Česká Lípa, z. ú.</t>
  </si>
  <si>
    <t>KČT OVýT ČESKÁ LÍPA</t>
  </si>
  <si>
    <t>Khukh Mongol, z. s.</t>
  </si>
  <si>
    <t>KLUB AGILITY ČESKÁ LÍPA z.s.</t>
  </si>
  <si>
    <t>Klub chovatelů grifonků a brabantíků, z. s.</t>
  </si>
  <si>
    <t>Klub Černý Petr o.s.</t>
  </si>
  <si>
    <t>Klub českých turistů Provodín, z.s.</t>
  </si>
  <si>
    <t>Klub dětí a mládeže v České Lípě</t>
  </si>
  <si>
    <t>Klub dětí, mládeže a přátel her</t>
  </si>
  <si>
    <t>Klub MIRAGE SELF-DEFENCE ACADEMY, z.s.</t>
  </si>
  <si>
    <t>Klub náhradních rodin libereckého kraje</t>
  </si>
  <si>
    <t>Klub potápěčů Česká Lípa, pobočný spolek SČP</t>
  </si>
  <si>
    <t>Klub přátel filmu Česká Lípa, z.s.</t>
  </si>
  <si>
    <t>KLUB PŘÁTEL VEŘEJNÉHO AKVÁRIA, z.s.</t>
  </si>
  <si>
    <t>Klub Reptilia Česká Lípa</t>
  </si>
  <si>
    <t>Klub SKPM-severní Čechy</t>
  </si>
  <si>
    <t>Klub sportovních kuší a luků 3D - LK LEGOLAS občanské sdružení</t>
  </si>
  <si>
    <t>KLUB STOMIKU</t>
  </si>
  <si>
    <t>Komunitní centrum pro Romy z České Lípy</t>
  </si>
  <si>
    <t>Krajský a okresní výbor Asociace hokejbalových klubů v České Lípě</t>
  </si>
  <si>
    <t>Kraso Česká Lípa, z.s.</t>
  </si>
  <si>
    <t>Krav Maga Česká Lípa</t>
  </si>
  <si>
    <t>Krav Maga Nico klub, z.s.</t>
  </si>
  <si>
    <t>Krok pro všechny generace z.s.</t>
  </si>
  <si>
    <t>kulturní ŠUM z.s.</t>
  </si>
  <si>
    <t>KWJ FALADA</t>
  </si>
  <si>
    <t>Ládví,o.s.</t>
  </si>
  <si>
    <t>LETECKOMODELÁŘSKÝ KLUB ČESKÁ LÍPA</t>
  </si>
  <si>
    <t>Liberecký krajský kuželkářský svaz ČKBF</t>
  </si>
  <si>
    <t>Liberecký krajský svaz futsalu</t>
  </si>
  <si>
    <t>Liberecký svaz karate ČSKe z.s.</t>
  </si>
  <si>
    <t>Liberecký svaz karate JKA z.s.</t>
  </si>
  <si>
    <t>LÍP A SPOLU, z.s.</t>
  </si>
  <si>
    <t>Lípa 2, spolek</t>
  </si>
  <si>
    <t>Lipáček, z. s.</t>
  </si>
  <si>
    <t>Lumen vitae, z.s.</t>
  </si>
  <si>
    <t>Macha Lake, z.s.</t>
  </si>
  <si>
    <t>Mateřské centrum Pumpkin, z.s.</t>
  </si>
  <si>
    <t>MBHB - umělecká společnost</t>
  </si>
  <si>
    <t>Mimoňští Sršni z. s.</t>
  </si>
  <si>
    <t>MisTon o.s.</t>
  </si>
  <si>
    <t>MK RACING</t>
  </si>
  <si>
    <t>MS PROVODÍN</t>
  </si>
  <si>
    <t>MS TRADICE Česká Lípa</t>
  </si>
  <si>
    <t>MŠ a ZŠ Safira z. s.</t>
  </si>
  <si>
    <t>Myslivecké sdružení Mlýnský vrch</t>
  </si>
  <si>
    <t>Myslivecké sdružení Mnišská Hora</t>
  </si>
  <si>
    <t>Myslivecké sdružení Okřešice</t>
  </si>
  <si>
    <t>Myslivecký spolek Heřmaničky - Veselí, z.s.</t>
  </si>
  <si>
    <t>Myslivecký spolek Hospodář</t>
  </si>
  <si>
    <t>Myslivecký spolek Krompach</t>
  </si>
  <si>
    <t>Myslivecký spolek Peklo Babylon z.s.</t>
  </si>
  <si>
    <t>Myslivecký spolek Slavíček Sloup</t>
  </si>
  <si>
    <t>Myslivecký spolek Žizníkov</t>
  </si>
  <si>
    <t>Na větrné hůrce z.s.</t>
  </si>
  <si>
    <t>Náboženská obec Církve československé husitské v České Lípě</t>
  </si>
  <si>
    <t>Nadační fond Dostupného bydlení</t>
  </si>
  <si>
    <t>Nadační fond Hrajeme o život</t>
  </si>
  <si>
    <t>Nadační fond Ozvěna</t>
  </si>
  <si>
    <t>Naše město, z.s.</t>
  </si>
  <si>
    <t>Nezávislá odborová organizace Fehrer Bohemia, s.r.o. - závod 01, spolek</t>
  </si>
  <si>
    <t>Nezávislé odbory Základní školy Slovanka, Česká Lípa</t>
  </si>
  <si>
    <t>NIVA CLUB Česká Lípa</t>
  </si>
  <si>
    <t>No Work Team Česká Lípa</t>
  </si>
  <si>
    <t>Nomads MTB</t>
  </si>
  <si>
    <t>North Bohemia Classic Club v AČR</t>
  </si>
  <si>
    <t>OBČAN V TÍSNI z.s.</t>
  </si>
  <si>
    <t>Občanské sdružení AGNI</t>
  </si>
  <si>
    <t>OBČANSKÉ SDRUŽENÍ ČESKÁ LÍPA</t>
  </si>
  <si>
    <t>"Občanské sdružení Českolipsko"</t>
  </si>
  <si>
    <t>Občanské sdružení Za klidný Sever</t>
  </si>
  <si>
    <t>Oblastní spolek Českého červeného kříže Česká Lípa v likvidaci</t>
  </si>
  <si>
    <t>Od srdce k srdci z.s.</t>
  </si>
  <si>
    <t>Odborová organizace LUKRAM - BELDEN</t>
  </si>
  <si>
    <t>Odborová organizace Odborového svazu státních orgánů a organizací při Městské policii Česká Lípa</t>
  </si>
  <si>
    <t>Odborová organizace při nectec Automotive s.r.o.</t>
  </si>
  <si>
    <t>Odborová organizace Střední zdravotnické školy a Střední odborné školy, Česká Lípa, 28.října 2707, příspěvková organizace</t>
  </si>
  <si>
    <t>Odborové sdružení železničářů ZO ČD a.s. Depo kolejových vozidel</t>
  </si>
  <si>
    <t>oddíl fotbalu TJ Lokomotiva Česká Lípa, z.s.</t>
  </si>
  <si>
    <t>ODEON</t>
  </si>
  <si>
    <t>ODESSA GOLF CLUB, o.s.</t>
  </si>
  <si>
    <t>Okresní fotbalový svaz Česká Lípa</t>
  </si>
  <si>
    <t>Okresní svaz futsalu Česká Lípa</t>
  </si>
  <si>
    <t>Orel jednota Česká Lípa</t>
  </si>
  <si>
    <t>OSZFO MO Česká Lípa</t>
  </si>
  <si>
    <t>Otevřená odborová organizace Česká Lípa</t>
  </si>
  <si>
    <t>Paintball klub Česká Lípa</t>
  </si>
  <si>
    <t>Paraklub Bohemia, Česká Lípa</t>
  </si>
  <si>
    <t>Paraklub Česká Lípa z.s.</t>
  </si>
  <si>
    <t>Paraklub Plus</t>
  </si>
  <si>
    <t>Parateam Česká Lípa</t>
  </si>
  <si>
    <t>Patronka, z.s.</t>
  </si>
  <si>
    <t>PES V TÍSNI, z.s.</t>
  </si>
  <si>
    <t>Pěvecký sbor Českolipský Evergreen, z.s.</t>
  </si>
  <si>
    <t>Pionýr, z. s. - Pionýrská skupina Ralsko</t>
  </si>
  <si>
    <t>Plavecký klub Česká Lípa, z. s.</t>
  </si>
  <si>
    <t>Plavecký klub Sport Česká Lípa, z.s.</t>
  </si>
  <si>
    <t>Podnikatelské odbory - Unie podnikatelských a živnostenských spolků, z.s.</t>
  </si>
  <si>
    <t>Poker Club Klokan o.s.</t>
  </si>
  <si>
    <t>"Poker Fold"</t>
  </si>
  <si>
    <t>POO OS TOK JOHNSON CONTROLS</t>
  </si>
  <si>
    <t>pro SEN. o.p.s., v likvidaci</t>
  </si>
  <si>
    <t>Pro Sever, z.s.</t>
  </si>
  <si>
    <t>Progres, z. s.</t>
  </si>
  <si>
    <t>Rada při ZŠ Partyzánská ul. Česká Lípa</t>
  </si>
  <si>
    <t>Radioklub OK 1 KNR Česká Lípa, v likvidaci</t>
  </si>
  <si>
    <t>RC model klub Česká Lípa</t>
  </si>
  <si>
    <t>RC MODEL KLUB ČESKÁ LÍPA</t>
  </si>
  <si>
    <t>REAL F.C. Česká Lípa</t>
  </si>
  <si>
    <t>Reas Česká Lípa z.s.</t>
  </si>
  <si>
    <t>Regionální zemědělsko-potravinářská komora v České Lípě</t>
  </si>
  <si>
    <t>Rodinné centrum Florianek, z.s.</t>
  </si>
  <si>
    <t>Rodinné centrum Slůně - Česká Lípa, z.s.</t>
  </si>
  <si>
    <t>Rodinné centrum Sluníčko, o.s.</t>
  </si>
  <si>
    <t>Romane KHAMORO</t>
  </si>
  <si>
    <t>Romani pačiv</t>
  </si>
  <si>
    <t>”Romské komunitní centrum Česká Lípa”</t>
  </si>
  <si>
    <t>Rum Friendly Club AK z. s.</t>
  </si>
  <si>
    <t>Rybářský sportovní klub Česká Lípa</t>
  </si>
  <si>
    <t>Rytmic Česká Lípa, z.s.</t>
  </si>
  <si>
    <t>Římskokatolická farnost - děkanství Česká Lípa - in urbe</t>
  </si>
  <si>
    <t>Římskokatolická farnost Česká Lípa - in suburbio</t>
  </si>
  <si>
    <t>Římskokatolická farnost Dobranov</t>
  </si>
  <si>
    <t>Římskokatolická farnost Horní Libchava</t>
  </si>
  <si>
    <t>Římskokatolická farnost Kvítkov</t>
  </si>
  <si>
    <t>Římskokatolická farnost Slunečná</t>
  </si>
  <si>
    <t>Římskokatolická farnost Stružnice</t>
  </si>
  <si>
    <t>Římskokatolická farnost Volfartice</t>
  </si>
  <si>
    <t>Sbor Církve adventistů sedmého dne Česká Lípa</t>
  </si>
  <si>
    <t>Sbor Jednoty bratrské v České Lípě</t>
  </si>
  <si>
    <t>Sbor Křesťanské společenství Česká Lípa</t>
  </si>
  <si>
    <t>Sdružení - Práva občanů</t>
  </si>
  <si>
    <t>Sdružení akcionářů a.s.NAREX Česká Lípa</t>
  </si>
  <si>
    <t>Sdružení akcionářů BOR a.s. Česká Lípa</t>
  </si>
  <si>
    <t>Sdružení členů Družstva Jednota</t>
  </si>
  <si>
    <t>Sdružení finančních poradců</t>
  </si>
  <si>
    <t>Sdružení nájemníků v domě 2857 ul.Lomená Česká Lípa</t>
  </si>
  <si>
    <t>Sdružení podnikatelů Českolipska</t>
  </si>
  <si>
    <t>Sdružení pravicových podnikatelů</t>
  </si>
  <si>
    <t>Sdružení privátních lékařů</t>
  </si>
  <si>
    <t>Sdružení pro enurézu (SEN)</t>
  </si>
  <si>
    <t>Sdružení pro Gymnázium Česká Lípa z.s.</t>
  </si>
  <si>
    <t>Sdružení rodičů a přátel OBCHODNÍ AKADEMIE Česká Lípa, z. s.</t>
  </si>
  <si>
    <t>Sdružení rodičů a přátel taneční školy DUHA Česká Lípa</t>
  </si>
  <si>
    <t>Sdružení rodičů při MŠ Arbesova v České Lípě</t>
  </si>
  <si>
    <t>Sdružení rozvoje romské mládeže</t>
  </si>
  <si>
    <t>Sdružení technických sportů a činností Českolipsko</t>
  </si>
  <si>
    <t>Sdružení tiskařů a vydavatelů v okrese Česká Lípa</t>
  </si>
  <si>
    <t>Sdružení TJ a SK Českolipska</t>
  </si>
  <si>
    <t>Sdružení vlastníků domu Mánesova 182, Česká Lípa</t>
  </si>
  <si>
    <t>Sdružení vlastníků domu Na Blatech 1946/32 v České Lípě</t>
  </si>
  <si>
    <t>Sdružení za rozvoj obce Manušice</t>
  </si>
  <si>
    <t>Sdružení zakladatelů soukromé nástavbové školy Praxis, Česká Lípa</t>
  </si>
  <si>
    <t>Sdružení zdravotně postižených Česká Lípa, o.p.s.</t>
  </si>
  <si>
    <t>Seals Masters - Plavecký klub Česká Lípa, z.s.</t>
  </si>
  <si>
    <t>Servisní centrum sportu ČUS Česká Lípa</t>
  </si>
  <si>
    <t>Severočeská pobočka České společnosti ornitologické</t>
  </si>
  <si>
    <t>Severočeský filharmonický sbor Česká Lípa-Liberec, těleso Severočeské filharmonie Teplice, z.s.</t>
  </si>
  <si>
    <t>SF EMU Doksy-Česká Lípa, z.s.</t>
  </si>
  <si>
    <t>SH ČMS - Okresní sdružení hasičů Česká Lípa</t>
  </si>
  <si>
    <t>SH ČMS - Sbor dobrovolných hasičů Česká Lípa</t>
  </si>
  <si>
    <t>SH ČMS - Sbor dobrovolných hasičů Dobranov</t>
  </si>
  <si>
    <t>SHOBU Academy z.s.</t>
  </si>
  <si>
    <t>SHOBUKAN AIKIDO, z.s.</t>
  </si>
  <si>
    <t>Shotokan Sport Centrum Česká Lípa z.s.</t>
  </si>
  <si>
    <t>SK Dukla Česká Lípa</t>
  </si>
  <si>
    <t>SK Futsal Liberec, z. s.</t>
  </si>
  <si>
    <t>SK Kanoistika Česká Lípa, z.s.</t>
  </si>
  <si>
    <t>SK Matchball Česká Lípa z.s.</t>
  </si>
  <si>
    <t>SK Slovan Česká Lípa</t>
  </si>
  <si>
    <t>SK Zlaté Kopýtko</t>
  </si>
  <si>
    <t>Sluníčko Česká Lípa z. s.</t>
  </si>
  <si>
    <t>Smíšený komorní sbor CAMERATA, Česká Lípa</t>
  </si>
  <si>
    <t>Societas Fratrum Olomucensium, z.s.</t>
  </si>
  <si>
    <t>Softball-baseball club-"Modré želvy" Česká Lípa</t>
  </si>
  <si>
    <t>SOPEŘ, o.s.</t>
  </si>
  <si>
    <t>SOUZNĚNÍ, z.s.</t>
  </si>
  <si>
    <t>Společnost pro komplexní péči o postižené děti a mládež VICTORIE</t>
  </si>
  <si>
    <t>Společnost pro obnovu a rozvoj města České Lípy</t>
  </si>
  <si>
    <t>Společnost pro trvale udržitelný život, Českolipská regionální pobočka</t>
  </si>
  <si>
    <t>Společnost příznivců soukromé školy SLUNCE v České Lípě</t>
  </si>
  <si>
    <t>SPOLEHNUTÍ - SPOLEČNÉ HNUTÍ ČESKOLIPANŮ</t>
  </si>
  <si>
    <t>Spolek A ven!</t>
  </si>
  <si>
    <t>Spolek Českolipané</t>
  </si>
  <si>
    <t>Spolek Český ranč</t>
  </si>
  <si>
    <t>Spolek českých fiddlerů</t>
  </si>
  <si>
    <t>Spolek FT Jokers Česká Lípa</t>
  </si>
  <si>
    <t>Spolek hokejové mládeže, z.s.</t>
  </si>
  <si>
    <t>Spolek Inspirovna</t>
  </si>
  <si>
    <t>Spolek láskyplných očí</t>
  </si>
  <si>
    <t>Spolek Naše Partyzánka</t>
  </si>
  <si>
    <t>Spolek POWER for SPORTS</t>
  </si>
  <si>
    <t>Spolek pro obnovu přírody a krajiny kopce Tlustec</t>
  </si>
  <si>
    <t>Spolek přátel chemického vojska</t>
  </si>
  <si>
    <t>Spolek přátel ZŠ Lada</t>
  </si>
  <si>
    <t>Spolek přidružených osad Česká Lípa, z.s.</t>
  </si>
  <si>
    <t>Spolek rodičů a přátel dětí a školy při ZŠ Špičák, Česká Lípa</t>
  </si>
  <si>
    <t>Spolek rodičů a přátel Střední průmyslové školy v České Lípě, z. s.</t>
  </si>
  <si>
    <t>Spolek rodičů a přátel školy Slovanka</t>
  </si>
  <si>
    <t>Spolek rodičů a přátel Základní školy, Česká Lípa, Pátova</t>
  </si>
  <si>
    <t>Spolek rodičů, přátel dětí a školy, Jižní č.p. 1903, Česká Lípa</t>
  </si>
  <si>
    <t>Spolek rodičů při ZŠ Česká Lípa, Školní 2520</t>
  </si>
  <si>
    <t>SPOLEK ZPSSP</t>
  </si>
  <si>
    <t>Spolek-XIIX, z. s.</t>
  </si>
  <si>
    <t>Sport Club Česká Lípa v likvidaci</t>
  </si>
  <si>
    <t>Sportcentrum Česká Lípa z.s.</t>
  </si>
  <si>
    <t>Sportovně střelecký klub Manušice z. s.</t>
  </si>
  <si>
    <t>Sportovní a kulturní klub Sangre de Toro</t>
  </si>
  <si>
    <t>Sportovní cyklistický klub NAJBERK Bike Team</t>
  </si>
  <si>
    <t>Sportovní klub BOXCLUB Česká Lípa</t>
  </si>
  <si>
    <t>Sportovní klub FORBIDDEN, z.s.</t>
  </si>
  <si>
    <t>Sportovní klub Grande Bradke de Varle Česká Lípa, z.s.</t>
  </si>
  <si>
    <t>Sportovní klub MS AUTO, z.s.</t>
  </si>
  <si>
    <t>Sportovní klub policie Česká Lípa, z.s.</t>
  </si>
  <si>
    <t>Sportovní klub SK83</t>
  </si>
  <si>
    <t>Sportovní městečko, z.s.</t>
  </si>
  <si>
    <t>Sportovní unie Českolipska, z.s.</t>
  </si>
  <si>
    <t>Sports for Life, z.s.</t>
  </si>
  <si>
    <t>Srdce Lípy, z.s.</t>
  </si>
  <si>
    <t>STOP dluhům z.s.</t>
  </si>
  <si>
    <t>Střelecký klub LOS SEVER, zapsaný spolek</t>
  </si>
  <si>
    <t>Svaz diabetiků ČR, pobočný spolek Česká Lípa</t>
  </si>
  <si>
    <t>Svaz neslyšících a nedoslýchavých osob v ČR, z.s., Spolek neslyšících Česká Lípa, p.s.</t>
  </si>
  <si>
    <t>Svaz postižených civilizačními chorobami v ČR, z.s. základní organizace Česká Lípa</t>
  </si>
  <si>
    <t>Svaz tělesně postižených v České republice z. s. místní organizace Česká Lípa</t>
  </si>
  <si>
    <t>Svaz tělesně postižených v České republice z. s. okresní organizace Česká Lípa</t>
  </si>
  <si>
    <t>Svět</t>
  </si>
  <si>
    <t>Šachový klub Česká Lípa, zapsaný spolek</t>
  </si>
  <si>
    <t>Šikulky, z. s.</t>
  </si>
  <si>
    <t>Šipkařský klub U kocoura z.s.</t>
  </si>
  <si>
    <t>Šipkový klub Dobranov, z. s.</t>
  </si>
  <si>
    <t>Škola rocku z.s.</t>
  </si>
  <si>
    <t>Školička - sdružení rodičů a přátel dětí</t>
  </si>
  <si>
    <t>Taneční skupina Tutti Frutti z.s.</t>
  </si>
  <si>
    <t>Taneční škola Duha o.p.s.</t>
  </si>
  <si>
    <t>Sportovní a rekreační vzdělávání</t>
  </si>
  <si>
    <t>Tartus, z.s.</t>
  </si>
  <si>
    <t>TB production, z. s.</t>
  </si>
  <si>
    <t>Tělocvičná jednota Sokol Česká Lípa</t>
  </si>
  <si>
    <t>Tělovýchovná jednota HB ZLÍ HOŠI - BAD BOYS Česká Lípa</t>
  </si>
  <si>
    <t>Tělovýchovná jednota Sokol Dobranov</t>
  </si>
  <si>
    <t>Tělovýchovná jednota Spartak Dubice, z.s.</t>
  </si>
  <si>
    <t>Tenerifest z. s.</t>
  </si>
  <si>
    <t>Tenis Slovanka, z.s.</t>
  </si>
  <si>
    <t>Tenis Triton</t>
  </si>
  <si>
    <t>Tenisová rodina, z.s.</t>
  </si>
  <si>
    <t>TENISOVÝ KLUB ČESKÁ LÍPA</t>
  </si>
  <si>
    <t>Tenisový klub HORNETS, z.s.</t>
  </si>
  <si>
    <t>Tenisový klub Slovanka Česká Lípa, z.s., ve zkratce (TK Slovanka Č. Lípa)</t>
  </si>
  <si>
    <t>"Tenisový klub Vamos o.s."</t>
  </si>
  <si>
    <t>TENNIS CLUB SENIOR ČESKÁ LÍPA "z.s."</t>
  </si>
  <si>
    <t>TENSHIN SHODEN RYU, z.s.</t>
  </si>
  <si>
    <t>Tergar Česko z. s.</t>
  </si>
  <si>
    <t>TERNI BACH</t>
  </si>
  <si>
    <t>THJ Jezdec Dobranov</t>
  </si>
  <si>
    <t>TJ Klub českých turistů Česká Lípa</t>
  </si>
  <si>
    <t>TJ KUŽELKY Česká Lípa, z.s.</t>
  </si>
  <si>
    <t>TJ Lokomotiva Česká Lípa, z.s.</t>
  </si>
  <si>
    <t>TJ Sokol Dolní Libchava</t>
  </si>
  <si>
    <t>Tri club Česká Lípa, z.s.</t>
  </si>
  <si>
    <t>Triatlon Česká Lípa, z.s.</t>
  </si>
  <si>
    <t>U bílýho černocha, z.s.</t>
  </si>
  <si>
    <t>”Unie lektorů a trenérů”</t>
  </si>
  <si>
    <t>UnitedSports o.s.</t>
  </si>
  <si>
    <t>UR ČR - sdružení při Speciálních školách Radost v České Lípě v likvidaci</t>
  </si>
  <si>
    <t>Územní rada předsedů Ústeckého a Libereckého kraje Odborového svazu dopravy</t>
  </si>
  <si>
    <t>Územní sdružení Českého zahrádkářského svazu Česká Lípa</t>
  </si>
  <si>
    <t>VČAS z.s.</t>
  </si>
  <si>
    <t>Vlastivědný spolek Českolipska</t>
  </si>
  <si>
    <t>Vojensko-historický spolek Lužice, z.s.</t>
  </si>
  <si>
    <t>Wake klub Česká Lípa, z.ú.</t>
  </si>
  <si>
    <t>W-iniciativa</t>
  </si>
  <si>
    <t>Za čistou Ploučnici</t>
  </si>
  <si>
    <t>Za novým úsměvem klientů a přátel rozštěpového centra Praha z.s."</t>
  </si>
  <si>
    <t>Zahradní osada Pod kapličkou, z.s.</t>
  </si>
  <si>
    <t>Základní odborová org. OS prac. obchodu VOMOZ, s.r.o.</t>
  </si>
  <si>
    <t>Základní odborová organizace odborového svazu pracovníků obchodu AHOLD ČR a.s. HYPERNOVA</t>
  </si>
  <si>
    <t>Základní odborová organizace OS stát. orgánů a organizací při Městě Česká Lípa</t>
  </si>
  <si>
    <t>Základní odborová organizace Vlastivědného muzea a galerie v České Lípě</t>
  </si>
  <si>
    <t>Základní organizace Českého zahrádkářského svazu Česká Lípa</t>
  </si>
  <si>
    <t>Základní organizace Českého zahrádkářského svazu Nový Bor  U vodárny</t>
  </si>
  <si>
    <t>Základní organizace Českého zahrádkářského svazu Osada Bořetín Česká Lípa</t>
  </si>
  <si>
    <t>Základní organizace Českého zahrádkářského svazu Sosnová</t>
  </si>
  <si>
    <t>Základní organizace Federace vlakových čet Česká Lípa</t>
  </si>
  <si>
    <t>Základní Organizace Nedoslýchavých Česká Lípa</t>
  </si>
  <si>
    <t>Základní organizace NOSP ČR Česká Lípa</t>
  </si>
  <si>
    <t>Základní organizace Odborového svazu hasičů Česká Lípa</t>
  </si>
  <si>
    <t>Základní organizace odborového svazu pracovníků obchodu - OBI Česká republika, s.r.o.</t>
  </si>
  <si>
    <t>Základní organizace Odborového svazu zdravotnictví a soc.péče České republiky, Nemocnice s poliklinikou Česká Lípa</t>
  </si>
  <si>
    <t>Základní organizace Odbory ARIP Nemocnice s poliklinikou,a.s.</t>
  </si>
  <si>
    <t>Základní organizace OS KOVO Grammer Česká Lípa</t>
  </si>
  <si>
    <t>Základní škola, Česká Lípa, 28. října 2733 p.o., 28. října 2733, 470 06  Česká Lípa</t>
  </si>
  <si>
    <t>Zeměles, z. s.</t>
  </si>
  <si>
    <t>ZO ČSOP ARON</t>
  </si>
  <si>
    <t>ZO FEDERACE STROJVŮDCŮ ČR LOKO DEPO ČESKÁ LÍPA</t>
  </si>
  <si>
    <t>ZO Odborové sdružení železničářů ČD - správa dopravní cesty</t>
  </si>
  <si>
    <t>ZO odborového svazu pracovníků obchodu OBI</t>
  </si>
  <si>
    <t>ZO Odborového svazu pracovníků obchodu SPAR Česká obchodní společnost s.r.o.</t>
  </si>
  <si>
    <t>ZO Odbor.svazu justice - Okresní soud Česká Lípa</t>
  </si>
  <si>
    <t>ZO OS KOVO ALSTOM CZ</t>
  </si>
  <si>
    <t>ZO OS KOVO Fehrer Česká Lípa</t>
  </si>
  <si>
    <t>ZO OS KOVO NAREX</t>
  </si>
  <si>
    <t>ZO OS pracovníků pen. a poj. - Česká spořitelna a.s.</t>
  </si>
  <si>
    <t>ZO OS pracovníků pen. a poj.-Komerční banka,a.s.</t>
  </si>
  <si>
    <t>ZO OS státních orgánů a organizací Okresní správa sociálního zabezpečení Česká Lípa</t>
  </si>
  <si>
    <t>ZO OS UNIOS Českolipská teplárenská a.s.</t>
  </si>
  <si>
    <t>ZO OS UNIOS OSBD</t>
  </si>
  <si>
    <t>ZO OSD ČSAD Liberec a.s. - provoz Česká Lípa</t>
  </si>
  <si>
    <t>ZO OSŽ Česká Lípa</t>
  </si>
  <si>
    <t>ZO SOS-21.CL Nezávislé odborové sdružení pracovníků České pošty okres Česká Lípa</t>
  </si>
  <si>
    <t>ZO UZO Albert</t>
  </si>
  <si>
    <t>Zoogeos Bohemia - spolek pro výzkum a ochranu fauny</t>
  </si>
  <si>
    <t>Žena je láska z. s.</t>
  </si>
  <si>
    <t>ŽIVA komunita, z. s.</t>
  </si>
  <si>
    <t>Živá Lípa, z. s.</t>
  </si>
  <si>
    <t>Žizníkov a okolí z. s.</t>
  </si>
  <si>
    <t>1. bowlingový klub Česká Lípa</t>
  </si>
  <si>
    <t>AFEU, z.s.</t>
  </si>
  <si>
    <t>Český Dub</t>
  </si>
  <si>
    <t>Amaro džives,z.s. v likvidaci</t>
  </si>
  <si>
    <t>České sdružení pro marketing o.s.</t>
  </si>
  <si>
    <t>„Českodubská školka, o.s.“</t>
  </si>
  <si>
    <t>„Česko-italská airsoft federace, CIAF”</t>
  </si>
  <si>
    <t>Český rybářský svaz, z. s., místní organizace Český Dub</t>
  </si>
  <si>
    <t>Český svaz chovatelů, z.s., Základní organizace Český Dub</t>
  </si>
  <si>
    <t>Český svaz včelařů, z.s., základní organizace Český Dub</t>
  </si>
  <si>
    <t>Divadelní společnost Vojan z. s.</t>
  </si>
  <si>
    <t>Folklorní soubor Horačky z.s.</t>
  </si>
  <si>
    <t>Fotbal Český Dub z.s.</t>
  </si>
  <si>
    <t>HC Clup</t>
  </si>
  <si>
    <t>HC Jičín, z.s.</t>
  </si>
  <si>
    <t>Honební společenstvo ČESKÝ DUB</t>
  </si>
  <si>
    <t>Honební společenstvo Komora Libštát</t>
  </si>
  <si>
    <t>Ještěrka - Život pod Ještědem, o.s.</t>
  </si>
  <si>
    <t>Junák - český skaut, středisko Dub Český Dub, z. s.</t>
  </si>
  <si>
    <t>Karolinka - Podještědský měsíčník</t>
  </si>
  <si>
    <t>KINANTRO ŠKODA</t>
  </si>
  <si>
    <t>Klub sociálně demokraticky smýšlejících obyvatel Podještědí</t>
  </si>
  <si>
    <t>Liberecký svaz malého fotbalu, z.s.</t>
  </si>
  <si>
    <t>LUXODA, z.s.</t>
  </si>
  <si>
    <t>Místní akční skupina Podještědí, z.s.</t>
  </si>
  <si>
    <t>MLÁDEŽNICKÝ FOTBALOVÝ KLUB PODJEŠTĚDÍ, z.s.</t>
  </si>
  <si>
    <t>MOTOŽALUDI, z.s.</t>
  </si>
  <si>
    <t>Myslivecký spolek Český Dub</t>
  </si>
  <si>
    <t>Náboženská obec Církve československé husitské v Českém Dubu</t>
  </si>
  <si>
    <t>Nadační fond PhDr. Tomáše Edela</t>
  </si>
  <si>
    <t>Podještědský FC Český Dub, z.s.</t>
  </si>
  <si>
    <t>Regionální sportovní centrum mládeže Český Dub</t>
  </si>
  <si>
    <t>Římskokatolická farnost - děkanství Český Dub</t>
  </si>
  <si>
    <t>Sdružení divadelních souborů Český Dub, z.s.</t>
  </si>
  <si>
    <t>Sdružení rodičů a přátel dětí školy při Základní škole v Českém Dubě, z.s. v likvidaci</t>
  </si>
  <si>
    <t>SH ČMS - Sbor dobrovolných hasičů Český Dub</t>
  </si>
  <si>
    <t>SH ČMS - Sbor dobrovolných hasičů Libíč</t>
  </si>
  <si>
    <t>SH ČMS - Sbor dobrovolných hasičů Modlibohov</t>
  </si>
  <si>
    <t>SH ČMS - Sbor dobrovolných hasičů Smržov</t>
  </si>
  <si>
    <t>SH ČMS - Sbor dobrovolných hasičů Sobákov</t>
  </si>
  <si>
    <t>SIARHA, z.s.</t>
  </si>
  <si>
    <t>Spolek Dubáci</t>
  </si>
  <si>
    <t>Spolek rodičů a přátel dětí školy při Základní škole v Českém Dubě, z.s.</t>
  </si>
  <si>
    <t>Sportovní akademie Luďka Zelenky, z.s.</t>
  </si>
  <si>
    <t>Sportovní centrum Podještědí Český Dub, z. s.</t>
  </si>
  <si>
    <t>Svaz tělesně postižených v České republice z. s. místní organizace Český Dub</t>
  </si>
  <si>
    <t>Tělocvičná jednota Sokol Český Dub</t>
  </si>
  <si>
    <t>Veselá věda kroužky a tábory, středisko volného času z.ú.</t>
  </si>
  <si>
    <t>Základní organizace Českého zahrádkářského svazu Český Dub</t>
  </si>
  <si>
    <t>Základní organizace odborového svazu pracovníků školství při Základní škole v Komenského ulici</t>
  </si>
  <si>
    <t>ZO Českého svazu včelařů - KOBYLY</t>
  </si>
  <si>
    <t>Myslivecké sdružení Černý háj, z.s.</t>
  </si>
  <si>
    <t>Čistá u Horek</t>
  </si>
  <si>
    <t>Občanské sdružení "Přátelé mateřského centra Barvínek Čistá u Horek" v likvidaci</t>
  </si>
  <si>
    <t>Sdružení rodičů a přátel dětí v Čisté u Horek v likvidaci</t>
  </si>
  <si>
    <t>SH ČMS - Sbor dobrovolných hasičů Čistá u Horek</t>
  </si>
  <si>
    <t>T.J. Čistá u Horek z.s.</t>
  </si>
  <si>
    <t>Honební společenstvo Čtveřín</t>
  </si>
  <si>
    <t>Čtveřín</t>
  </si>
  <si>
    <t>Myslivecký spolek Sychrov</t>
  </si>
  <si>
    <t>SH ČMS - Sbor dobrovolných hasičů Čtveřín</t>
  </si>
  <si>
    <t>T.J. Čtveřín</t>
  </si>
  <si>
    <t>Za zdravé Doubí, z.s.</t>
  </si>
  <si>
    <t>ADVOCAT CLUB ČR, z.s.</t>
  </si>
  <si>
    <t>Šimonovice</t>
  </si>
  <si>
    <t>Agentura mediálního rozvoje Libereckého kraje, z.s.</t>
  </si>
  <si>
    <t>Agentura mediálního rozvoje Středočeského kraje, z.s.</t>
  </si>
  <si>
    <t>ALXTOM Association z.s.</t>
  </si>
  <si>
    <t>Asociace autorizovaných dealerů BMW v ČR, z.s.</t>
  </si>
  <si>
    <t>Asociace center duševního zdraví, z.s.</t>
  </si>
  <si>
    <t>Asociace dodavatelů služeb v pozemním stavitelství, z.s.</t>
  </si>
  <si>
    <t>Asociace hasičů ČR, o.s.</t>
  </si>
  <si>
    <t>Asociace poskytovatelů demoličních služeb, z.s.</t>
  </si>
  <si>
    <t>Asociace poskytovatelů finančních služeb, z.s.</t>
  </si>
  <si>
    <t>Asociace prodejců nemovitostí, z.s.</t>
  </si>
  <si>
    <t>Asociace realitních poradců, z.s.</t>
  </si>
  <si>
    <t>Asociace výrobců chemických produktů, z.s.</t>
  </si>
  <si>
    <t>Asociace zprostředkovatelů pracovního trhu ČR, z.s.</t>
  </si>
  <si>
    <t>Asociace železničářů ČR, o.s.</t>
  </si>
  <si>
    <t>ATELLIERO, z.s.</t>
  </si>
  <si>
    <t>CHLAT Association z.s.</t>
  </si>
  <si>
    <t>Czech Office House, z.s.</t>
  </si>
  <si>
    <t>Czech Photo Academy, z.s.</t>
  </si>
  <si>
    <t>Česká akademie filmové a televizní tvorby, z.s.</t>
  </si>
  <si>
    <t>Česká akademie fotografické tvorby, z.s.</t>
  </si>
  <si>
    <t>Česká komora dovozců a obchodníků s kávou, z.s.</t>
  </si>
  <si>
    <t>Česká komora realitních makléřů, z.s.</t>
  </si>
  <si>
    <t>Česko - Čínská Studentská Unie, z.s.</t>
  </si>
  <si>
    <t>Ecological Solutions, z.s.</t>
  </si>
  <si>
    <t>EKO spolek Hodkovice n. Mohelkou, z. s.</t>
  </si>
  <si>
    <t>EURO AUTO CLUB, z.s.</t>
  </si>
  <si>
    <t>Euro Business Association, z.s.</t>
  </si>
  <si>
    <t>EURO INTERNET CLUB, z.s.</t>
  </si>
  <si>
    <t>Euro Metalwork Association, z.s.</t>
  </si>
  <si>
    <t>Euro TRANS Association, z.s.</t>
  </si>
  <si>
    <t>EURO 21 Cz. o.p.s.</t>
  </si>
  <si>
    <t>Euroinwest Association, z.s.</t>
  </si>
  <si>
    <t>European Association of Developers, z.s.</t>
  </si>
  <si>
    <t>European Association of Education, z.s.</t>
  </si>
  <si>
    <t>European Association of Project Managers, z.s.</t>
  </si>
  <si>
    <t>European Models Association, z.s.</t>
  </si>
  <si>
    <t>European Photo Association, z.s.</t>
  </si>
  <si>
    <t>European Publishers Association, z.s.</t>
  </si>
  <si>
    <t>EUROPEANA HANDICAP, z.s.</t>
  </si>
  <si>
    <t>Evropská asociace vinařů, z.s.</t>
  </si>
  <si>
    <t>Evropský svaz seniorů, z.s.</t>
  </si>
  <si>
    <t>FYB Praha, z.s.</t>
  </si>
  <si>
    <t>Gastro Profi Club, z.s.</t>
  </si>
  <si>
    <t>Gastro Technic Association, z.s.</t>
  </si>
  <si>
    <t>Golf &amp; Country Club Olympia, z.s.</t>
  </si>
  <si>
    <t>Health &amp; Beauty Association, z.s.</t>
  </si>
  <si>
    <t>International Beauty &amp; Health Association, z.s.</t>
  </si>
  <si>
    <t>Jezdecký klub Šimonovice</t>
  </si>
  <si>
    <t>Klub IT a logistiky, z.s. v likvidaci</t>
  </si>
  <si>
    <t>Komora ekonomických a finančních poradců, z.s.</t>
  </si>
  <si>
    <t>Komora ekonomických a právních specialistů</t>
  </si>
  <si>
    <t>Komora geologů a pískoven ČR, z.s.</t>
  </si>
  <si>
    <t>Komora Informatiků ČR, z.s.</t>
  </si>
  <si>
    <t>Komora inkasních poradců, z.s.</t>
  </si>
  <si>
    <t>Komora kadeřníků ČR, z.s.</t>
  </si>
  <si>
    <t>Komora poskytovatelů služeb BOZP, z.s.</t>
  </si>
  <si>
    <t>Komora poskytovatelů služeb v oblasti likvidace odpadů, z.s.</t>
  </si>
  <si>
    <t>Komora poskytovatelů služeb ve stavebnictví, z.s.</t>
  </si>
  <si>
    <t>Krajská agentura mediálního rozvoje, z.s.</t>
  </si>
  <si>
    <t>Liberecký sportovní klub IPSC, z.s.</t>
  </si>
  <si>
    <t>Media Association, z.s.</t>
  </si>
  <si>
    <t>METSURECO Association, z.s.</t>
  </si>
  <si>
    <t>MS DIANA ŠIMONOVICE</t>
  </si>
  <si>
    <t>Nano Power Association, z.s.</t>
  </si>
  <si>
    <t>Pozemkový spolek EcoLog, z.s.</t>
  </si>
  <si>
    <t>Pozemkový spolek NATURA, z.s.</t>
  </si>
  <si>
    <t>Přátelé Liberce</t>
  </si>
  <si>
    <t>Sdružení hasičů Čech, Moravy a Slezka Sbor dobrovolných hasičů Šimonovice</t>
  </si>
  <si>
    <t>Severočeské ekologické sdružení, z.s.</t>
  </si>
  <si>
    <t>SH ČMS - Sbor dobrovolných hasičů Minkovice u Liberce</t>
  </si>
  <si>
    <t>Silk Trail Association, z.s.</t>
  </si>
  <si>
    <t>SK TENIS JEŠTĚD, z.s.</t>
  </si>
  <si>
    <t>SOLAR SYSTEMS DEVELOPMENT CLUB, z.s.</t>
  </si>
  <si>
    <t>SPOLEČNOST SPOKOJENÉHO STÁŘÍ o.p.s.</t>
  </si>
  <si>
    <t>Spolek přátel a rodičů MŠ Šimonovice</t>
  </si>
  <si>
    <t>Sportovní klub Inpos, z.s.</t>
  </si>
  <si>
    <t>Stream TV, z.s.</t>
  </si>
  <si>
    <t>Svaz provozovatelů bezpilotních zařízení, z.s.</t>
  </si>
  <si>
    <t>Svaz provozovatelů sociálních služeb, z.s.</t>
  </si>
  <si>
    <t>Tennis European Association, z.s.</t>
  </si>
  <si>
    <t>TIP SERVIS CLUB, z.s.</t>
  </si>
  <si>
    <t>TOhave DOG WORK, z.s.</t>
  </si>
  <si>
    <t>Unie autorů a provozovatelů blogů, z.s.</t>
  </si>
  <si>
    <t>Unie pracovních příležitostí EU, z.s.</t>
  </si>
  <si>
    <t>VIP Golf Club, z.s.</t>
  </si>
  <si>
    <t>Vodní zdroje UHELNÁ, z.s.</t>
  </si>
  <si>
    <t>World Press Photo, z.s.</t>
  </si>
  <si>
    <t>Český rybářský svaz, z. s., místní organizace Žandov</t>
  </si>
  <si>
    <t>Žandov</t>
  </si>
  <si>
    <t>Český svaz včelařů, z.s., základní organizace Žandov</t>
  </si>
  <si>
    <t>Honební společenstvo Horní Police</t>
  </si>
  <si>
    <t>Hotwheels Club Czech Republic, z.s.</t>
  </si>
  <si>
    <t>Hugo outdoor, z.s.</t>
  </si>
  <si>
    <t>Mateřské centrum Štěstí, o.s.</t>
  </si>
  <si>
    <t>MS Bobří potok Heřmanice u Žandova</t>
  </si>
  <si>
    <t>Nadační fond Ronja</t>
  </si>
  <si>
    <t>Neziskové sdružení majitelů domů v Žandově</t>
  </si>
  <si>
    <t>OS KOVO SAUER Žandov</t>
  </si>
  <si>
    <t>Partyzáni Česká Lípa, z.s.</t>
  </si>
  <si>
    <t>Radečský okrašlovací spolek</t>
  </si>
  <si>
    <t>Rybářský spolek Heřmanice</t>
  </si>
  <si>
    <t>Sdružení rodičů při ZŠ Žandov</t>
  </si>
  <si>
    <t>SH ČMS - Sbor dobrovolných hasičů Žandov</t>
  </si>
  <si>
    <t>SK Spartak Žandov z.s.</t>
  </si>
  <si>
    <t>Základní organizace Českého zahrádkářského svazu Žandov u České Lípy</t>
  </si>
  <si>
    <t>Živá tvorba, zapsaný spolek</t>
  </si>
  <si>
    <t>AMOS EDU, z. s.</t>
  </si>
  <si>
    <t>Železný Brod</t>
  </si>
  <si>
    <t>Automotoklub Železný Brod, z.s.</t>
  </si>
  <si>
    <t>Bzovský okrašlovací spolek</t>
  </si>
  <si>
    <t>Česká řemeslná unie</t>
  </si>
  <si>
    <t>Český rybářský svaz, z. s., místní organizace Železný Brod</t>
  </si>
  <si>
    <t>Český svaz včelařů, z.s., základní organizace Železný Brod</t>
  </si>
  <si>
    <t>Divadelní spolek Tyl Železný Brod</t>
  </si>
  <si>
    <t>„F.A. King Crew”</t>
  </si>
  <si>
    <t>Fajxova asociace - Brýle bez hranic ČR</t>
  </si>
  <si>
    <t>FAKING BOOKINGS, z.s.</t>
  </si>
  <si>
    <t>FATALIS</t>
  </si>
  <si>
    <t>Fit Studio Aerobiku Jany Boučkové z. s.</t>
  </si>
  <si>
    <t>Fitness Classic o.s., Železný Brod</t>
  </si>
  <si>
    <t>FK Železný Brod, z.s.</t>
  </si>
  <si>
    <t>HC Železný Brod</t>
  </si>
  <si>
    <t>HLUK, o. s.</t>
  </si>
  <si>
    <t>Hníz.dění z.s.</t>
  </si>
  <si>
    <t>HO Železný Brod, z. s.</t>
  </si>
  <si>
    <t>HONEBNÍ SPOLEČENSTVO JIRKOVSKÁ BOROVICE</t>
  </si>
  <si>
    <t>Honební společenstvo Železný Brod</t>
  </si>
  <si>
    <t>Hydronet, z.s.</t>
  </si>
  <si>
    <t>IPAM o.p.s.</t>
  </si>
  <si>
    <t>Junák - český skaut, středisko Údolí Železný Brod, z. s.</t>
  </si>
  <si>
    <t>Kamenický klub mládeže, z.s.</t>
  </si>
  <si>
    <t>Klub kanoistiky Železný Brod z. s.</t>
  </si>
  <si>
    <t>Klub sběratelů pivních sevenýrů Jizeran Turnov</t>
  </si>
  <si>
    <t>Klub sklářské školy v Železném Brodě, z.s.</t>
  </si>
  <si>
    <t>Komorní pěvecký sbor Eternal voices z. s.</t>
  </si>
  <si>
    <t>"Koníček Železný Brod"</t>
  </si>
  <si>
    <t>Lusk z. s.</t>
  </si>
  <si>
    <t>Matice děkanství Železnobrodského</t>
  </si>
  <si>
    <t>Mineralklub Kozákov 82</t>
  </si>
  <si>
    <t>MY GOSPEL, z. s.</t>
  </si>
  <si>
    <t>Myslivecký spolek Jirkovská Borovice</t>
  </si>
  <si>
    <t>Myslivecký spolek JIZERA Železný Brod</t>
  </si>
  <si>
    <t>Nadační fond "Na podporu činnosti 2. ZŠ Železný Brod - Pelechovská 800"</t>
  </si>
  <si>
    <t>Občanská beseda Železný Brod, z. s.</t>
  </si>
  <si>
    <t>Ochranovský sbor při Českobratrské církvi evangelické v Železném Brodě</t>
  </si>
  <si>
    <t>Odborová organizace Střední uměleckoprůmyslové školy sklářské v Železném Brodě</t>
  </si>
  <si>
    <t>Odborový svaz skla, keramiky a porcelánu, Základní organizace Železnobrodské sklo, v likvidaci</t>
  </si>
  <si>
    <t>Petanque Železný Brod, z.s.</t>
  </si>
  <si>
    <t>Pravoslavná církevní obec v Železném Brodě</t>
  </si>
  <si>
    <t>Rodinné centrum Andílek z. s.,</t>
  </si>
  <si>
    <t>Římskokatolická farnost - děkanství Železný Brod</t>
  </si>
  <si>
    <t>Římskokatolická farnost Bzí</t>
  </si>
  <si>
    <t>Římskokatolická farnost Držkov</t>
  </si>
  <si>
    <t>Římskokatolická farnost Klokočské Loučky</t>
  </si>
  <si>
    <t>Římskokatolická farnost Krásná (dříve Šumburk - Jistebsko)</t>
  </si>
  <si>
    <t>Sbor dobrovolných hasičů Splzov</t>
  </si>
  <si>
    <t>SH ČMS - Sbor dobrovolných hasičů Bzí</t>
  </si>
  <si>
    <t>SH ČMS - Sbor dobrovolných hasičů Horská Kamenice</t>
  </si>
  <si>
    <t>SH ČMS - Sbor dobrovolných hasičů Hrubá Horka</t>
  </si>
  <si>
    <t>SH ČMS - Sbor dobrovolných hasičů Jirkov</t>
  </si>
  <si>
    <t>SH ČMS - Sbor dobrovolných hasičů Těpeře</t>
  </si>
  <si>
    <t>SH ČMS - Sbor dobrovolných hasičů Železný Brod</t>
  </si>
  <si>
    <t>SOAM-Sdružení organizátorů akcí pro mládež</t>
  </si>
  <si>
    <t>Sokolská  župa Jizerská</t>
  </si>
  <si>
    <t>Spolek pro uchování a rozvíjení dějinného odkazu Jednoty bratrské, z.s.</t>
  </si>
  <si>
    <t>Spolek rodičů a přátel Základní školy Železný Brod, Pelechovská 800, z.s.</t>
  </si>
  <si>
    <t>Spolek rodičů a přátel Základní školy Železný Brod, Školní 700, z.s.</t>
  </si>
  <si>
    <t>Spolek Střevelná</t>
  </si>
  <si>
    <t>Spolek zdravotně postižených Železnobrodska</t>
  </si>
  <si>
    <t>Sportovní klub Jirkov, z.s.</t>
  </si>
  <si>
    <t>Sportovní klub KP CYKLO Železný Brod</t>
  </si>
  <si>
    <t>SSC Železný Brod, spolek v likvidaci</t>
  </si>
  <si>
    <t>Studio Hamlet Železný Brod, z. s.</t>
  </si>
  <si>
    <t>Tělocvičná jednota Sokol Bzí</t>
  </si>
  <si>
    <t>TĚLOCVIČNÁ JEDNOTA SOKOL BZÍ</t>
  </si>
  <si>
    <t>Tělocvičná jednota SOKOL Chlístov</t>
  </si>
  <si>
    <t>Tělocvičná jednota Sokol Těpeře</t>
  </si>
  <si>
    <t>Tělocvičná jednota Sokol Železný Brod</t>
  </si>
  <si>
    <t>Tělovýchovná jednota Sokol Hrubá Horka, zapsaný spolek</t>
  </si>
  <si>
    <t>Tělovýchovná jednota Sokol Těpeře</t>
  </si>
  <si>
    <t>Tenisový klub Železný Brod, spolek</t>
  </si>
  <si>
    <t>TJ Chlístov,z.s.</t>
  </si>
  <si>
    <t>Trávnice, z. s.</t>
  </si>
  <si>
    <t>Základní odborová organizace zaměstnanců fy INTECH Železný Brod</t>
  </si>
  <si>
    <t>Základní organizace Českého zahrádkářského svazu Jirkov</t>
  </si>
  <si>
    <t>Základní organizace Českého zahrádkářského svazu Lišný</t>
  </si>
  <si>
    <t>Základní organizace Českého zahrádkářského svazu Železný Brod</t>
  </si>
  <si>
    <t>Železnobrodský spolek</t>
  </si>
  <si>
    <t>Honební společenstvo Rovensko pod Troskami</t>
  </si>
  <si>
    <t>Žernov</t>
  </si>
  <si>
    <t>Myslivecké sdružení Veselka z.s.</t>
  </si>
  <si>
    <t>Sýkořice 10, z.s.</t>
  </si>
  <si>
    <t>Honební společenstvo Sychrov - Radostín</t>
  </si>
  <si>
    <t>Žďárek</t>
  </si>
  <si>
    <t>Honební společenstvo Žďárek</t>
  </si>
  <si>
    <t>Potápěčský klub Liberec, pobočný spolek SČP</t>
  </si>
  <si>
    <t>SH ČMS - Sbor dobrovolných hasičů Žďárek</t>
  </si>
  <si>
    <t>SPORTKLUB ŽĎÁREK</t>
  </si>
  <si>
    <t>Tělocvičná jednota SOKOL Žďárek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</si>
</sst>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Špatně" xfId="7" builtinId="27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ulka1" displayName="Tabulka1" ref="A1:F6397" totalsRowShown="0">
  <autoFilter ref="A1:F6397"/>
  <tableColumns count="6">
    <tableColumn id="1" name="IČO"/>
    <tableColumn id="2" name="Obchodní jméno/název"/>
    <tableColumn id="5" name="Statistická právní forma (název)"/>
    <tableColumn id="10" name="Obec (kód)">
      <calculatedColumnFormula>"544604"</calculatedColumnFormula>
    </tableColumn>
    <tableColumn id="11" name="Obec (název)"/>
    <tableColumn id="13" name="Hlavní ekonomická činnost (CZ NACE) (název)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97"/>
  <sheetViews>
    <sheetView tabSelected="1" workbookViewId="0">
      <selection activeCell="F1" sqref="F1:F1048576"/>
    </sheetView>
  </sheetViews>
  <sheetFormatPr defaultRowHeight="15" x14ac:dyDescent="0.25"/>
  <cols>
    <col min="1" max="1" width="9" bestFit="1" customWidth="1"/>
    <col min="2" max="2" width="172.140625" bestFit="1" customWidth="1"/>
    <col min="3" max="3" width="51" bestFit="1" customWidth="1"/>
    <col min="4" max="4" width="13.140625" bestFit="1" customWidth="1"/>
    <col min="5" max="5" width="28.7109375" bestFit="1" customWidth="1"/>
    <col min="6" max="6" width="115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tr">
        <f>"64668525"</f>
        <v>64668525</v>
      </c>
      <c r="B2" t="s">
        <v>6</v>
      </c>
      <c r="C2" t="s">
        <v>7</v>
      </c>
      <c r="D2" t="str">
        <f t="shared" ref="D2:D7" si="0">"563528"</f>
        <v>563528</v>
      </c>
      <c r="E2" t="s">
        <v>8</v>
      </c>
      <c r="F2" t="s">
        <v>9</v>
      </c>
    </row>
    <row r="3" spans="1:6" x14ac:dyDescent="0.25">
      <c r="A3" t="str">
        <f>"26647273"</f>
        <v>26647273</v>
      </c>
      <c r="B3" t="s">
        <v>10</v>
      </c>
      <c r="C3" t="s">
        <v>7</v>
      </c>
      <c r="D3" t="str">
        <f t="shared" si="0"/>
        <v>563528</v>
      </c>
      <c r="E3" t="s">
        <v>8</v>
      </c>
      <c r="F3" t="s">
        <v>11</v>
      </c>
    </row>
    <row r="4" spans="1:6" x14ac:dyDescent="0.25">
      <c r="A4" t="str">
        <f>"05883628"</f>
        <v>05883628</v>
      </c>
      <c r="B4" t="s">
        <v>12</v>
      </c>
      <c r="C4" t="s">
        <v>7</v>
      </c>
      <c r="D4" t="str">
        <f t="shared" si="0"/>
        <v>563528</v>
      </c>
      <c r="E4" t="s">
        <v>8</v>
      </c>
      <c r="F4" t="s">
        <v>13</v>
      </c>
    </row>
    <row r="5" spans="1:6" x14ac:dyDescent="0.25">
      <c r="A5" t="str">
        <f>"60254581"</f>
        <v>60254581</v>
      </c>
      <c r="B5" t="s">
        <v>14</v>
      </c>
      <c r="C5" t="s">
        <v>15</v>
      </c>
      <c r="D5" t="str">
        <f t="shared" si="0"/>
        <v>563528</v>
      </c>
      <c r="E5" t="s">
        <v>8</v>
      </c>
      <c r="F5" t="s">
        <v>16</v>
      </c>
    </row>
    <row r="6" spans="1:6" x14ac:dyDescent="0.25">
      <c r="A6" t="str">
        <f>"22833471"</f>
        <v>22833471</v>
      </c>
      <c r="B6" t="s">
        <v>17</v>
      </c>
      <c r="C6" t="s">
        <v>7</v>
      </c>
      <c r="D6" t="str">
        <f t="shared" si="0"/>
        <v>563528</v>
      </c>
      <c r="E6" t="s">
        <v>8</v>
      </c>
      <c r="F6" t="s">
        <v>18</v>
      </c>
    </row>
    <row r="7" spans="1:6" x14ac:dyDescent="0.25">
      <c r="A7" t="str">
        <f>"70937788"</f>
        <v>70937788</v>
      </c>
      <c r="B7" t="s">
        <v>19</v>
      </c>
      <c r="C7" t="s">
        <v>20</v>
      </c>
      <c r="D7" t="str">
        <f t="shared" si="0"/>
        <v>563528</v>
      </c>
      <c r="E7" t="s">
        <v>8</v>
      </c>
      <c r="F7" t="s">
        <v>21</v>
      </c>
    </row>
    <row r="8" spans="1:6" x14ac:dyDescent="0.25">
      <c r="A8" t="str">
        <f>"28560256"</f>
        <v>28560256</v>
      </c>
      <c r="B8" t="s">
        <v>22</v>
      </c>
      <c r="C8" t="s">
        <v>7</v>
      </c>
      <c r="D8" t="str">
        <f t="shared" ref="D8:D15" si="1">"563536"</f>
        <v>563536</v>
      </c>
      <c r="E8" t="s">
        <v>23</v>
      </c>
      <c r="F8" t="s">
        <v>11</v>
      </c>
    </row>
    <row r="9" spans="1:6" x14ac:dyDescent="0.25">
      <c r="A9" t="str">
        <f>"06471510"</f>
        <v>06471510</v>
      </c>
      <c r="B9" t="s">
        <v>24</v>
      </c>
      <c r="C9" t="s">
        <v>7</v>
      </c>
      <c r="D9" t="str">
        <f t="shared" si="1"/>
        <v>563536</v>
      </c>
      <c r="E9" t="s">
        <v>23</v>
      </c>
      <c r="F9" t="s">
        <v>11</v>
      </c>
    </row>
    <row r="10" spans="1:6" x14ac:dyDescent="0.25">
      <c r="A10" t="str">
        <f>"22724176"</f>
        <v>22724176</v>
      </c>
      <c r="B10" t="s">
        <v>25</v>
      </c>
      <c r="C10" t="s">
        <v>7</v>
      </c>
      <c r="D10" t="str">
        <f t="shared" si="1"/>
        <v>563536</v>
      </c>
      <c r="E10" t="s">
        <v>23</v>
      </c>
      <c r="F10" t="s">
        <v>9</v>
      </c>
    </row>
    <row r="11" spans="1:6" x14ac:dyDescent="0.25">
      <c r="A11" t="str">
        <f>"03085287"</f>
        <v>03085287</v>
      </c>
      <c r="B11" t="s">
        <v>26</v>
      </c>
      <c r="C11" t="s">
        <v>27</v>
      </c>
      <c r="D11" t="str">
        <f t="shared" si="1"/>
        <v>563536</v>
      </c>
      <c r="E11" t="s">
        <v>23</v>
      </c>
      <c r="F11" t="s">
        <v>13</v>
      </c>
    </row>
    <row r="12" spans="1:6" x14ac:dyDescent="0.25">
      <c r="A12" t="str">
        <f>"06067549"</f>
        <v>06067549</v>
      </c>
      <c r="B12" t="s">
        <v>28</v>
      </c>
      <c r="C12" t="s">
        <v>7</v>
      </c>
      <c r="D12" t="str">
        <f t="shared" si="1"/>
        <v>563536</v>
      </c>
      <c r="E12" t="s">
        <v>23</v>
      </c>
      <c r="F12" t="s">
        <v>29</v>
      </c>
    </row>
    <row r="13" spans="1:6" x14ac:dyDescent="0.25">
      <c r="A13" t="str">
        <f>"60254611"</f>
        <v>60254611</v>
      </c>
      <c r="B13" t="s">
        <v>30</v>
      </c>
      <c r="C13" t="s">
        <v>15</v>
      </c>
      <c r="D13" t="str">
        <f t="shared" si="1"/>
        <v>563536</v>
      </c>
      <c r="E13" t="s">
        <v>23</v>
      </c>
      <c r="F13" t="s">
        <v>16</v>
      </c>
    </row>
    <row r="14" spans="1:6" x14ac:dyDescent="0.25">
      <c r="A14" t="str">
        <f>"18381596"</f>
        <v>18381596</v>
      </c>
      <c r="B14" t="s">
        <v>31</v>
      </c>
      <c r="C14" t="s">
        <v>7</v>
      </c>
      <c r="D14" t="str">
        <f t="shared" si="1"/>
        <v>563536</v>
      </c>
      <c r="E14" t="s">
        <v>23</v>
      </c>
      <c r="F14" t="s">
        <v>11</v>
      </c>
    </row>
    <row r="15" spans="1:6" x14ac:dyDescent="0.25">
      <c r="A15" t="str">
        <f>"21520593"</f>
        <v>21520593</v>
      </c>
      <c r="B15" t="s">
        <v>32</v>
      </c>
      <c r="C15" t="s">
        <v>7</v>
      </c>
      <c r="D15" t="str">
        <f t="shared" si="1"/>
        <v>563536</v>
      </c>
      <c r="E15" t="s">
        <v>23</v>
      </c>
      <c r="F15" t="s">
        <v>11</v>
      </c>
    </row>
    <row r="16" spans="1:6" x14ac:dyDescent="0.25">
      <c r="A16" t="str">
        <f>"00528641"</f>
        <v>00528641</v>
      </c>
      <c r="B16" t="s">
        <v>33</v>
      </c>
      <c r="C16" t="s">
        <v>7</v>
      </c>
      <c r="D16" t="str">
        <f t="shared" ref="D16:D28" si="2">"576981"</f>
        <v>576981</v>
      </c>
      <c r="E16" t="s">
        <v>34</v>
      </c>
      <c r="F16" t="s">
        <v>35</v>
      </c>
    </row>
    <row r="17" spans="1:6" x14ac:dyDescent="0.25">
      <c r="A17" t="str">
        <f>"71174796"</f>
        <v>71174796</v>
      </c>
      <c r="B17" t="s">
        <v>36</v>
      </c>
      <c r="C17" t="s">
        <v>37</v>
      </c>
      <c r="D17" t="str">
        <f t="shared" si="2"/>
        <v>576981</v>
      </c>
      <c r="E17" t="s">
        <v>34</v>
      </c>
      <c r="F17" t="s">
        <v>38</v>
      </c>
    </row>
    <row r="18" spans="1:6" x14ac:dyDescent="0.25">
      <c r="A18" t="str">
        <f>"26998262"</f>
        <v>26998262</v>
      </c>
      <c r="B18" t="s">
        <v>39</v>
      </c>
      <c r="C18" t="s">
        <v>7</v>
      </c>
      <c r="D18" t="str">
        <f t="shared" si="2"/>
        <v>576981</v>
      </c>
      <c r="E18" t="s">
        <v>34</v>
      </c>
      <c r="F18" t="s">
        <v>40</v>
      </c>
    </row>
    <row r="19" spans="1:6" x14ac:dyDescent="0.25">
      <c r="A19" t="str">
        <f>"45599971"</f>
        <v>45599971</v>
      </c>
      <c r="B19" t="s">
        <v>41</v>
      </c>
      <c r="C19" t="s">
        <v>7</v>
      </c>
      <c r="D19" t="str">
        <f t="shared" si="2"/>
        <v>576981</v>
      </c>
      <c r="E19" t="s">
        <v>34</v>
      </c>
      <c r="F19" t="s">
        <v>38</v>
      </c>
    </row>
    <row r="20" spans="1:6" x14ac:dyDescent="0.25">
      <c r="A20" t="str">
        <f>"15045536"</f>
        <v>15045536</v>
      </c>
      <c r="B20" t="s">
        <v>42</v>
      </c>
      <c r="C20" t="s">
        <v>43</v>
      </c>
      <c r="D20" t="str">
        <f t="shared" si="2"/>
        <v>576981</v>
      </c>
      <c r="E20" t="s">
        <v>34</v>
      </c>
      <c r="F20" t="s">
        <v>44</v>
      </c>
    </row>
    <row r="21" spans="1:6" x14ac:dyDescent="0.25">
      <c r="A21" t="str">
        <f>"49296078"</f>
        <v>49296078</v>
      </c>
      <c r="B21" t="s">
        <v>45</v>
      </c>
      <c r="C21" t="s">
        <v>43</v>
      </c>
      <c r="D21" t="str">
        <f t="shared" si="2"/>
        <v>576981</v>
      </c>
      <c r="E21" t="s">
        <v>34</v>
      </c>
      <c r="F21" t="s">
        <v>44</v>
      </c>
    </row>
    <row r="22" spans="1:6" x14ac:dyDescent="0.25">
      <c r="A22" t="str">
        <f>"49296086"</f>
        <v>49296086</v>
      </c>
      <c r="B22" t="s">
        <v>46</v>
      </c>
      <c r="C22" t="s">
        <v>43</v>
      </c>
      <c r="D22" t="str">
        <f t="shared" si="2"/>
        <v>576981</v>
      </c>
      <c r="E22" t="s">
        <v>34</v>
      </c>
      <c r="F22" t="s">
        <v>44</v>
      </c>
    </row>
    <row r="23" spans="1:6" x14ac:dyDescent="0.25">
      <c r="A23" t="str">
        <f>"27040241"</f>
        <v>27040241</v>
      </c>
      <c r="B23" t="s">
        <v>47</v>
      </c>
      <c r="C23" t="s">
        <v>7</v>
      </c>
      <c r="D23" t="str">
        <f t="shared" si="2"/>
        <v>576981</v>
      </c>
      <c r="E23" t="s">
        <v>34</v>
      </c>
      <c r="F23" t="s">
        <v>13</v>
      </c>
    </row>
    <row r="24" spans="1:6" x14ac:dyDescent="0.25">
      <c r="A24" t="str">
        <f>"62014277"</f>
        <v>62014277</v>
      </c>
      <c r="B24" t="s">
        <v>48</v>
      </c>
      <c r="C24" t="s">
        <v>15</v>
      </c>
      <c r="D24" t="str">
        <f t="shared" si="2"/>
        <v>576981</v>
      </c>
      <c r="E24" t="s">
        <v>34</v>
      </c>
      <c r="F24" t="s">
        <v>16</v>
      </c>
    </row>
    <row r="25" spans="1:6" x14ac:dyDescent="0.25">
      <c r="A25" t="str">
        <f>"62013017"</f>
        <v>62013017</v>
      </c>
      <c r="B25" t="s">
        <v>49</v>
      </c>
      <c r="C25" t="s">
        <v>15</v>
      </c>
      <c r="D25" t="str">
        <f t="shared" si="2"/>
        <v>576981</v>
      </c>
      <c r="E25" t="s">
        <v>34</v>
      </c>
      <c r="F25" t="s">
        <v>16</v>
      </c>
    </row>
    <row r="26" spans="1:6" x14ac:dyDescent="0.25">
      <c r="A26" t="str">
        <f>"62012843"</f>
        <v>62012843</v>
      </c>
      <c r="B26" t="s">
        <v>50</v>
      </c>
      <c r="C26" t="s">
        <v>15</v>
      </c>
      <c r="D26" t="str">
        <f t="shared" si="2"/>
        <v>576981</v>
      </c>
      <c r="E26" t="s">
        <v>34</v>
      </c>
      <c r="F26" t="s">
        <v>16</v>
      </c>
    </row>
    <row r="27" spans="1:6" x14ac:dyDescent="0.25">
      <c r="A27" t="str">
        <f>"04161319"</f>
        <v>04161319</v>
      </c>
      <c r="B27" t="s">
        <v>51</v>
      </c>
      <c r="C27" t="s">
        <v>7</v>
      </c>
      <c r="D27" t="str">
        <f t="shared" si="2"/>
        <v>576981</v>
      </c>
      <c r="E27" t="s">
        <v>34</v>
      </c>
      <c r="F27" t="s">
        <v>13</v>
      </c>
    </row>
    <row r="28" spans="1:6" x14ac:dyDescent="0.25">
      <c r="A28" t="str">
        <f>"45597731"</f>
        <v>45597731</v>
      </c>
      <c r="B28" t="s">
        <v>52</v>
      </c>
      <c r="C28" t="s">
        <v>15</v>
      </c>
      <c r="D28" t="str">
        <f t="shared" si="2"/>
        <v>576981</v>
      </c>
      <c r="E28" t="s">
        <v>34</v>
      </c>
      <c r="F28" t="s">
        <v>9</v>
      </c>
    </row>
    <row r="29" spans="1:6" x14ac:dyDescent="0.25">
      <c r="A29" t="str">
        <f>"22690913"</f>
        <v>22690913</v>
      </c>
      <c r="B29" t="s">
        <v>53</v>
      </c>
      <c r="C29" t="s">
        <v>7</v>
      </c>
      <c r="D29" t="str">
        <f t="shared" ref="D29:D38" si="3">"576999"</f>
        <v>576999</v>
      </c>
      <c r="E29" t="s">
        <v>54</v>
      </c>
      <c r="F29" t="s">
        <v>11</v>
      </c>
    </row>
    <row r="30" spans="1:6" x14ac:dyDescent="0.25">
      <c r="A30" t="str">
        <f>"22754628"</f>
        <v>22754628</v>
      </c>
      <c r="B30" t="s">
        <v>55</v>
      </c>
      <c r="C30" t="s">
        <v>15</v>
      </c>
      <c r="D30" t="str">
        <f t="shared" si="3"/>
        <v>576999</v>
      </c>
      <c r="E30" t="s">
        <v>54</v>
      </c>
      <c r="F30" t="s">
        <v>29</v>
      </c>
    </row>
    <row r="31" spans="1:6" x14ac:dyDescent="0.25">
      <c r="A31" t="str">
        <f>"62014871"</f>
        <v>62014871</v>
      </c>
      <c r="B31" t="s">
        <v>56</v>
      </c>
      <c r="C31" t="s">
        <v>15</v>
      </c>
      <c r="D31" t="str">
        <f t="shared" si="3"/>
        <v>576999</v>
      </c>
      <c r="E31" t="s">
        <v>54</v>
      </c>
      <c r="F31" t="s">
        <v>11</v>
      </c>
    </row>
    <row r="32" spans="1:6" x14ac:dyDescent="0.25">
      <c r="A32" t="str">
        <f>"08511047"</f>
        <v>08511047</v>
      </c>
      <c r="B32" t="s">
        <v>57</v>
      </c>
      <c r="C32" t="s">
        <v>7</v>
      </c>
      <c r="D32" t="str">
        <f t="shared" si="3"/>
        <v>576999</v>
      </c>
      <c r="E32" t="s">
        <v>54</v>
      </c>
      <c r="F32" t="s">
        <v>58</v>
      </c>
    </row>
    <row r="33" spans="1:6" x14ac:dyDescent="0.25">
      <c r="A33" t="str">
        <f>"62014714"</f>
        <v>62014714</v>
      </c>
      <c r="B33" t="s">
        <v>59</v>
      </c>
      <c r="C33" t="s">
        <v>20</v>
      </c>
      <c r="D33" t="str">
        <f t="shared" si="3"/>
        <v>576999</v>
      </c>
      <c r="E33" t="s">
        <v>54</v>
      </c>
      <c r="F33" t="s">
        <v>21</v>
      </c>
    </row>
    <row r="34" spans="1:6" x14ac:dyDescent="0.25">
      <c r="A34" t="str">
        <f>"62014471"</f>
        <v>62014471</v>
      </c>
      <c r="B34" t="s">
        <v>60</v>
      </c>
      <c r="C34" t="s">
        <v>15</v>
      </c>
      <c r="D34" t="str">
        <f t="shared" si="3"/>
        <v>576999</v>
      </c>
      <c r="E34" t="s">
        <v>54</v>
      </c>
      <c r="F34" t="s">
        <v>16</v>
      </c>
    </row>
    <row r="35" spans="1:6" x14ac:dyDescent="0.25">
      <c r="A35" t="str">
        <f>"04393686"</f>
        <v>04393686</v>
      </c>
      <c r="B35" t="s">
        <v>61</v>
      </c>
      <c r="C35" t="s">
        <v>7</v>
      </c>
      <c r="D35" t="str">
        <f t="shared" si="3"/>
        <v>576999</v>
      </c>
      <c r="E35" t="s">
        <v>54</v>
      </c>
      <c r="F35" t="s">
        <v>62</v>
      </c>
    </row>
    <row r="36" spans="1:6" x14ac:dyDescent="0.25">
      <c r="A36" t="str">
        <f>"68247958"</f>
        <v>68247958</v>
      </c>
      <c r="B36" t="s">
        <v>63</v>
      </c>
      <c r="C36" t="s">
        <v>15</v>
      </c>
      <c r="D36" t="str">
        <f t="shared" si="3"/>
        <v>576999</v>
      </c>
      <c r="E36" t="s">
        <v>54</v>
      </c>
      <c r="F36" t="s">
        <v>9</v>
      </c>
    </row>
    <row r="37" spans="1:6" x14ac:dyDescent="0.25">
      <c r="A37" t="str">
        <f>"45598762"</f>
        <v>45598762</v>
      </c>
      <c r="B37" t="s">
        <v>64</v>
      </c>
      <c r="C37" t="s">
        <v>7</v>
      </c>
      <c r="D37" t="str">
        <f t="shared" si="3"/>
        <v>576999</v>
      </c>
      <c r="E37" t="s">
        <v>54</v>
      </c>
      <c r="F37" t="s">
        <v>65</v>
      </c>
    </row>
    <row r="38" spans="1:6" x14ac:dyDescent="0.25">
      <c r="A38" t="str">
        <f>"26530872"</f>
        <v>26530872</v>
      </c>
      <c r="B38" t="s">
        <v>66</v>
      </c>
      <c r="C38" t="s">
        <v>7</v>
      </c>
      <c r="D38" t="str">
        <f t="shared" si="3"/>
        <v>576999</v>
      </c>
      <c r="E38" t="s">
        <v>54</v>
      </c>
      <c r="F38" t="s">
        <v>11</v>
      </c>
    </row>
    <row r="39" spans="1:6" x14ac:dyDescent="0.25">
      <c r="A39" t="str">
        <f>"48678252"</f>
        <v>48678252</v>
      </c>
      <c r="B39" t="s">
        <v>67</v>
      </c>
      <c r="C39" t="s">
        <v>37</v>
      </c>
      <c r="D39" t="str">
        <f>"561398"</f>
        <v>561398</v>
      </c>
      <c r="E39" t="s">
        <v>68</v>
      </c>
      <c r="F39" t="s">
        <v>38</v>
      </c>
    </row>
    <row r="40" spans="1:6" x14ac:dyDescent="0.25">
      <c r="A40" t="str">
        <f>"26618524"</f>
        <v>26618524</v>
      </c>
      <c r="B40" t="s">
        <v>69</v>
      </c>
      <c r="C40" t="s">
        <v>7</v>
      </c>
      <c r="D40" t="str">
        <f>"561398"</f>
        <v>561398</v>
      </c>
      <c r="E40" t="s">
        <v>68</v>
      </c>
      <c r="F40" t="s">
        <v>9</v>
      </c>
    </row>
    <row r="41" spans="1:6" x14ac:dyDescent="0.25">
      <c r="A41" t="str">
        <f>"05480272"</f>
        <v>05480272</v>
      </c>
      <c r="B41" t="s">
        <v>70</v>
      </c>
      <c r="C41" t="s">
        <v>15</v>
      </c>
      <c r="D41" t="str">
        <f>"561398"</f>
        <v>561398</v>
      </c>
      <c r="E41" t="s">
        <v>68</v>
      </c>
      <c r="F41" t="s">
        <v>29</v>
      </c>
    </row>
    <row r="42" spans="1:6" x14ac:dyDescent="0.25">
      <c r="A42" t="str">
        <f>"86770802"</f>
        <v>86770802</v>
      </c>
      <c r="B42" t="s">
        <v>71</v>
      </c>
      <c r="C42" t="s">
        <v>15</v>
      </c>
      <c r="D42" t="str">
        <f>"561398"</f>
        <v>561398</v>
      </c>
      <c r="E42" t="s">
        <v>68</v>
      </c>
      <c r="F42" t="s">
        <v>16</v>
      </c>
    </row>
    <row r="43" spans="1:6" x14ac:dyDescent="0.25">
      <c r="A43" t="str">
        <f>"03738035"</f>
        <v>03738035</v>
      </c>
      <c r="B43" t="s">
        <v>72</v>
      </c>
      <c r="C43" t="s">
        <v>7</v>
      </c>
      <c r="D43" t="str">
        <f>"561401"</f>
        <v>561401</v>
      </c>
      <c r="E43" t="s">
        <v>73</v>
      </c>
      <c r="F43" t="s">
        <v>11</v>
      </c>
    </row>
    <row r="44" spans="1:6" x14ac:dyDescent="0.25">
      <c r="A44" t="str">
        <f>"46750835"</f>
        <v>46750835</v>
      </c>
      <c r="B44" t="s">
        <v>74</v>
      </c>
      <c r="C44" t="s">
        <v>7</v>
      </c>
      <c r="D44" t="str">
        <f>"561401"</f>
        <v>561401</v>
      </c>
      <c r="E44" t="s">
        <v>73</v>
      </c>
      <c r="F44" t="s">
        <v>38</v>
      </c>
    </row>
    <row r="45" spans="1:6" x14ac:dyDescent="0.25">
      <c r="A45" t="str">
        <f>"26615444"</f>
        <v>26615444</v>
      </c>
      <c r="B45" t="s">
        <v>75</v>
      </c>
      <c r="C45" t="s">
        <v>7</v>
      </c>
      <c r="D45" t="str">
        <f>"561401"</f>
        <v>561401</v>
      </c>
      <c r="E45" t="s">
        <v>73</v>
      </c>
      <c r="F45" t="s">
        <v>11</v>
      </c>
    </row>
    <row r="46" spans="1:6" x14ac:dyDescent="0.25">
      <c r="A46" t="str">
        <f>"26636646"</f>
        <v>26636646</v>
      </c>
      <c r="B46" t="s">
        <v>76</v>
      </c>
      <c r="C46" t="s">
        <v>7</v>
      </c>
      <c r="D46" t="str">
        <f>"561401"</f>
        <v>561401</v>
      </c>
      <c r="E46" t="s">
        <v>73</v>
      </c>
      <c r="F46" t="s">
        <v>11</v>
      </c>
    </row>
    <row r="47" spans="1:6" x14ac:dyDescent="0.25">
      <c r="A47" t="str">
        <f>"27950751"</f>
        <v>27950751</v>
      </c>
      <c r="B47" t="s">
        <v>77</v>
      </c>
      <c r="C47" t="s">
        <v>78</v>
      </c>
      <c r="D47" t="str">
        <f>"561401"</f>
        <v>561401</v>
      </c>
      <c r="E47" t="s">
        <v>73</v>
      </c>
      <c r="F47" t="s">
        <v>79</v>
      </c>
    </row>
    <row r="48" spans="1:6" x14ac:dyDescent="0.25">
      <c r="A48" t="str">
        <f>"70838470"</f>
        <v>70838470</v>
      </c>
      <c r="B48" t="s">
        <v>80</v>
      </c>
      <c r="C48" t="s">
        <v>7</v>
      </c>
      <c r="D48" t="str">
        <f t="shared" ref="D48:D54" si="4">"561410"</f>
        <v>561410</v>
      </c>
      <c r="E48" t="s">
        <v>81</v>
      </c>
      <c r="F48" t="s">
        <v>65</v>
      </c>
    </row>
    <row r="49" spans="1:6" x14ac:dyDescent="0.25">
      <c r="A49" t="str">
        <f>"03599507"</f>
        <v>03599507</v>
      </c>
      <c r="B49" t="s">
        <v>82</v>
      </c>
      <c r="C49" t="s">
        <v>37</v>
      </c>
      <c r="D49" t="str">
        <f t="shared" si="4"/>
        <v>561410</v>
      </c>
      <c r="E49" t="s">
        <v>81</v>
      </c>
      <c r="F49" t="s">
        <v>38</v>
      </c>
    </row>
    <row r="50" spans="1:6" x14ac:dyDescent="0.25">
      <c r="A50" t="str">
        <f>"71172017"</f>
        <v>71172017</v>
      </c>
      <c r="B50" t="s">
        <v>83</v>
      </c>
      <c r="C50" t="s">
        <v>37</v>
      </c>
      <c r="D50" t="str">
        <f t="shared" si="4"/>
        <v>561410</v>
      </c>
      <c r="E50" t="s">
        <v>81</v>
      </c>
      <c r="F50" t="s">
        <v>38</v>
      </c>
    </row>
    <row r="51" spans="1:6" x14ac:dyDescent="0.25">
      <c r="A51" t="str">
        <f>"48282308"</f>
        <v>48282308</v>
      </c>
      <c r="B51" t="s">
        <v>84</v>
      </c>
      <c r="C51" t="s">
        <v>7</v>
      </c>
      <c r="D51" t="str">
        <f t="shared" si="4"/>
        <v>561410</v>
      </c>
      <c r="E51" t="s">
        <v>81</v>
      </c>
      <c r="F51" t="s">
        <v>38</v>
      </c>
    </row>
    <row r="52" spans="1:6" x14ac:dyDescent="0.25">
      <c r="A52" t="str">
        <f>"10822259"</f>
        <v>10822259</v>
      </c>
      <c r="B52" t="s">
        <v>85</v>
      </c>
      <c r="C52" t="s">
        <v>7</v>
      </c>
      <c r="D52" t="str">
        <f t="shared" si="4"/>
        <v>561410</v>
      </c>
      <c r="E52" t="s">
        <v>81</v>
      </c>
      <c r="F52" t="s">
        <v>18</v>
      </c>
    </row>
    <row r="53" spans="1:6" x14ac:dyDescent="0.25">
      <c r="A53" t="str">
        <f>"01567802"</f>
        <v>01567802</v>
      </c>
      <c r="B53" t="s">
        <v>86</v>
      </c>
      <c r="C53" t="s">
        <v>7</v>
      </c>
      <c r="D53" t="str">
        <f t="shared" si="4"/>
        <v>561410</v>
      </c>
      <c r="E53" t="s">
        <v>81</v>
      </c>
      <c r="F53" t="s">
        <v>35</v>
      </c>
    </row>
    <row r="54" spans="1:6" x14ac:dyDescent="0.25">
      <c r="A54" t="str">
        <f>"49864521"</f>
        <v>49864521</v>
      </c>
      <c r="B54" t="s">
        <v>87</v>
      </c>
      <c r="C54" t="s">
        <v>7</v>
      </c>
      <c r="D54" t="str">
        <f t="shared" si="4"/>
        <v>561410</v>
      </c>
      <c r="E54" t="s">
        <v>81</v>
      </c>
      <c r="F54" t="s">
        <v>9</v>
      </c>
    </row>
    <row r="55" spans="1:6" x14ac:dyDescent="0.25">
      <c r="A55" t="str">
        <f>"02670968"</f>
        <v>02670968</v>
      </c>
      <c r="B55" t="s">
        <v>88</v>
      </c>
      <c r="C55" t="s">
        <v>7</v>
      </c>
      <c r="D55" t="str">
        <f>"561428"</f>
        <v>561428</v>
      </c>
      <c r="E55" t="s">
        <v>89</v>
      </c>
      <c r="F55" t="s">
        <v>11</v>
      </c>
    </row>
    <row r="56" spans="1:6" x14ac:dyDescent="0.25">
      <c r="A56" t="str">
        <f>"01305476"</f>
        <v>01305476</v>
      </c>
      <c r="B56" t="s">
        <v>90</v>
      </c>
      <c r="C56" t="s">
        <v>7</v>
      </c>
      <c r="D56" t="str">
        <f>"561428"</f>
        <v>561428</v>
      </c>
      <c r="E56" t="s">
        <v>89</v>
      </c>
      <c r="F56" t="s">
        <v>29</v>
      </c>
    </row>
    <row r="57" spans="1:6" x14ac:dyDescent="0.25">
      <c r="A57" t="str">
        <f>"10985310"</f>
        <v>10985310</v>
      </c>
      <c r="B57" t="s">
        <v>91</v>
      </c>
      <c r="C57" t="s">
        <v>7</v>
      </c>
      <c r="D57" t="str">
        <f>"561428"</f>
        <v>561428</v>
      </c>
      <c r="E57" t="s">
        <v>89</v>
      </c>
      <c r="F57" t="s">
        <v>11</v>
      </c>
    </row>
    <row r="58" spans="1:6" x14ac:dyDescent="0.25">
      <c r="A58" t="str">
        <f>"21691380"</f>
        <v>21691380</v>
      </c>
      <c r="B58" t="s">
        <v>92</v>
      </c>
      <c r="C58" t="s">
        <v>7</v>
      </c>
      <c r="D58" t="str">
        <f>"561428"</f>
        <v>561428</v>
      </c>
      <c r="E58" t="s">
        <v>89</v>
      </c>
      <c r="F58" t="s">
        <v>93</v>
      </c>
    </row>
    <row r="59" spans="1:6" x14ac:dyDescent="0.25">
      <c r="A59" t="str">
        <f>"49294253"</f>
        <v>49294253</v>
      </c>
      <c r="B59" t="s">
        <v>94</v>
      </c>
      <c r="C59" t="s">
        <v>15</v>
      </c>
      <c r="D59" t="str">
        <f t="shared" ref="D59:D72" si="5">"577006"</f>
        <v>577006</v>
      </c>
      <c r="E59" t="s">
        <v>95</v>
      </c>
      <c r="F59" t="s">
        <v>35</v>
      </c>
    </row>
    <row r="60" spans="1:6" x14ac:dyDescent="0.25">
      <c r="A60" t="str">
        <f>"49295233"</f>
        <v>49295233</v>
      </c>
      <c r="B60" t="s">
        <v>96</v>
      </c>
      <c r="C60" t="s">
        <v>15</v>
      </c>
      <c r="D60" t="str">
        <f t="shared" si="5"/>
        <v>577006</v>
      </c>
      <c r="E60" t="s">
        <v>95</v>
      </c>
      <c r="F60" t="s">
        <v>11</v>
      </c>
    </row>
    <row r="61" spans="1:6" x14ac:dyDescent="0.25">
      <c r="A61" t="str">
        <f>"45599246"</f>
        <v>45599246</v>
      </c>
      <c r="B61" t="s">
        <v>97</v>
      </c>
      <c r="C61" t="s">
        <v>37</v>
      </c>
      <c r="D61" t="str">
        <f t="shared" si="5"/>
        <v>577006</v>
      </c>
      <c r="E61" t="s">
        <v>95</v>
      </c>
      <c r="F61" t="s">
        <v>38</v>
      </c>
    </row>
    <row r="62" spans="1:6" x14ac:dyDescent="0.25">
      <c r="A62" t="str">
        <f>"03700801"</f>
        <v>03700801</v>
      </c>
      <c r="B62" t="s">
        <v>98</v>
      </c>
      <c r="C62" t="s">
        <v>7</v>
      </c>
      <c r="D62" t="str">
        <f t="shared" si="5"/>
        <v>577006</v>
      </c>
      <c r="E62" t="s">
        <v>95</v>
      </c>
      <c r="F62" t="s">
        <v>13</v>
      </c>
    </row>
    <row r="63" spans="1:6" x14ac:dyDescent="0.25">
      <c r="A63" t="str">
        <f>"15045412"</f>
        <v>15045412</v>
      </c>
      <c r="B63" t="s">
        <v>99</v>
      </c>
      <c r="C63" t="s">
        <v>7</v>
      </c>
      <c r="D63" t="str">
        <f t="shared" si="5"/>
        <v>577006</v>
      </c>
      <c r="E63" t="s">
        <v>95</v>
      </c>
      <c r="F63" t="s">
        <v>11</v>
      </c>
    </row>
    <row r="64" spans="1:6" x14ac:dyDescent="0.25">
      <c r="A64" t="str">
        <f>"26591294"</f>
        <v>26591294</v>
      </c>
      <c r="B64" t="s">
        <v>100</v>
      </c>
      <c r="C64" t="s">
        <v>7</v>
      </c>
      <c r="D64" t="str">
        <f t="shared" si="5"/>
        <v>577006</v>
      </c>
      <c r="E64" t="s">
        <v>95</v>
      </c>
      <c r="F64" t="s">
        <v>9</v>
      </c>
    </row>
    <row r="65" spans="1:6" x14ac:dyDescent="0.25">
      <c r="A65" t="str">
        <f>"15045935"</f>
        <v>15045935</v>
      </c>
      <c r="B65" t="s">
        <v>101</v>
      </c>
      <c r="C65" t="s">
        <v>7</v>
      </c>
      <c r="D65" t="str">
        <f t="shared" si="5"/>
        <v>577006</v>
      </c>
      <c r="E65" t="s">
        <v>95</v>
      </c>
      <c r="F65" t="s">
        <v>38</v>
      </c>
    </row>
    <row r="66" spans="1:6" x14ac:dyDescent="0.25">
      <c r="A66" t="str">
        <f>"62013246"</f>
        <v>62013246</v>
      </c>
      <c r="B66" t="s">
        <v>102</v>
      </c>
      <c r="C66" t="s">
        <v>43</v>
      </c>
      <c r="D66" t="str">
        <f t="shared" si="5"/>
        <v>577006</v>
      </c>
      <c r="E66" t="s">
        <v>95</v>
      </c>
      <c r="F66" t="s">
        <v>44</v>
      </c>
    </row>
    <row r="67" spans="1:6" x14ac:dyDescent="0.25">
      <c r="A67" t="str">
        <f>"70151075"</f>
        <v>70151075</v>
      </c>
      <c r="B67" t="s">
        <v>103</v>
      </c>
      <c r="C67" t="s">
        <v>43</v>
      </c>
      <c r="D67" t="str">
        <f t="shared" si="5"/>
        <v>577006</v>
      </c>
      <c r="E67" t="s">
        <v>95</v>
      </c>
      <c r="F67" t="s">
        <v>44</v>
      </c>
    </row>
    <row r="68" spans="1:6" x14ac:dyDescent="0.25">
      <c r="A68" t="str">
        <f>"15045455"</f>
        <v>15045455</v>
      </c>
      <c r="B68" t="s">
        <v>104</v>
      </c>
      <c r="C68" t="s">
        <v>43</v>
      </c>
      <c r="D68" t="str">
        <f t="shared" si="5"/>
        <v>577006</v>
      </c>
      <c r="E68" t="s">
        <v>95</v>
      </c>
      <c r="F68" t="s">
        <v>44</v>
      </c>
    </row>
    <row r="69" spans="1:6" x14ac:dyDescent="0.25">
      <c r="A69" t="str">
        <f>"49295918"</f>
        <v>49295918</v>
      </c>
      <c r="B69" t="s">
        <v>105</v>
      </c>
      <c r="C69" t="s">
        <v>43</v>
      </c>
      <c r="D69" t="str">
        <f t="shared" si="5"/>
        <v>577006</v>
      </c>
      <c r="E69" t="s">
        <v>95</v>
      </c>
      <c r="F69" t="s">
        <v>44</v>
      </c>
    </row>
    <row r="70" spans="1:6" x14ac:dyDescent="0.25">
      <c r="A70" t="str">
        <f>"49295870"</f>
        <v>49295870</v>
      </c>
      <c r="B70" t="s">
        <v>106</v>
      </c>
      <c r="C70" t="s">
        <v>43</v>
      </c>
      <c r="D70" t="str">
        <f t="shared" si="5"/>
        <v>577006</v>
      </c>
      <c r="E70" t="s">
        <v>95</v>
      </c>
      <c r="F70" t="s">
        <v>44</v>
      </c>
    </row>
    <row r="71" spans="1:6" x14ac:dyDescent="0.25">
      <c r="A71" t="str">
        <f>"62013645"</f>
        <v>62013645</v>
      </c>
      <c r="B71" t="s">
        <v>107</v>
      </c>
      <c r="C71" t="s">
        <v>15</v>
      </c>
      <c r="D71" t="str">
        <f t="shared" si="5"/>
        <v>577006</v>
      </c>
      <c r="E71" t="s">
        <v>95</v>
      </c>
      <c r="F71" t="s">
        <v>16</v>
      </c>
    </row>
    <row r="72" spans="1:6" x14ac:dyDescent="0.25">
      <c r="A72" t="str">
        <f>"49296256"</f>
        <v>49296256</v>
      </c>
      <c r="B72" t="s">
        <v>108</v>
      </c>
      <c r="C72" t="s">
        <v>15</v>
      </c>
      <c r="D72" t="str">
        <f t="shared" si="5"/>
        <v>577006</v>
      </c>
      <c r="E72" t="s">
        <v>95</v>
      </c>
      <c r="F72" t="s">
        <v>9</v>
      </c>
    </row>
    <row r="73" spans="1:6" x14ac:dyDescent="0.25">
      <c r="A73" t="str">
        <f>"62013831"</f>
        <v>62013831</v>
      </c>
      <c r="B73" t="s">
        <v>109</v>
      </c>
      <c r="C73" t="s">
        <v>15</v>
      </c>
      <c r="D73" t="str">
        <f>"577014"</f>
        <v>577014</v>
      </c>
      <c r="E73" t="s">
        <v>110</v>
      </c>
      <c r="F73" t="s">
        <v>16</v>
      </c>
    </row>
    <row r="74" spans="1:6" x14ac:dyDescent="0.25">
      <c r="A74" t="str">
        <f>"45598339"</f>
        <v>45598339</v>
      </c>
      <c r="B74" t="s">
        <v>111</v>
      </c>
      <c r="C74" t="s">
        <v>7</v>
      </c>
      <c r="D74" t="str">
        <f>"577014"</f>
        <v>577014</v>
      </c>
      <c r="E74" t="s">
        <v>110</v>
      </c>
      <c r="F74" t="s">
        <v>65</v>
      </c>
    </row>
    <row r="75" spans="1:6" x14ac:dyDescent="0.25">
      <c r="A75" t="str">
        <f>"08015546"</f>
        <v>08015546</v>
      </c>
      <c r="B75" t="s">
        <v>112</v>
      </c>
      <c r="C75" t="s">
        <v>15</v>
      </c>
      <c r="D75" t="str">
        <f t="shared" ref="D75:D93" si="6">"561444"</f>
        <v>561444</v>
      </c>
      <c r="E75" t="s">
        <v>113</v>
      </c>
      <c r="F75" t="s">
        <v>29</v>
      </c>
    </row>
    <row r="76" spans="1:6" x14ac:dyDescent="0.25">
      <c r="A76" t="str">
        <f>"65650042"</f>
        <v>65650042</v>
      </c>
      <c r="B76" t="s">
        <v>114</v>
      </c>
      <c r="C76" t="s">
        <v>15</v>
      </c>
      <c r="D76" t="str">
        <f t="shared" si="6"/>
        <v>561444</v>
      </c>
      <c r="E76" t="s">
        <v>113</v>
      </c>
      <c r="F76" t="s">
        <v>62</v>
      </c>
    </row>
    <row r="77" spans="1:6" x14ac:dyDescent="0.25">
      <c r="A77" t="str">
        <f>"22005633"</f>
        <v>22005633</v>
      </c>
      <c r="B77" t="s">
        <v>115</v>
      </c>
      <c r="C77" t="s">
        <v>15</v>
      </c>
      <c r="D77" t="str">
        <f t="shared" si="6"/>
        <v>561444</v>
      </c>
      <c r="E77" t="s">
        <v>113</v>
      </c>
      <c r="F77" t="s">
        <v>62</v>
      </c>
    </row>
    <row r="78" spans="1:6" x14ac:dyDescent="0.25">
      <c r="A78" t="str">
        <f>"48282731"</f>
        <v>48282731</v>
      </c>
      <c r="B78" t="s">
        <v>116</v>
      </c>
      <c r="C78" t="s">
        <v>7</v>
      </c>
      <c r="D78" t="str">
        <f t="shared" si="6"/>
        <v>561444</v>
      </c>
      <c r="E78" t="s">
        <v>113</v>
      </c>
      <c r="F78" t="s">
        <v>9</v>
      </c>
    </row>
    <row r="79" spans="1:6" x14ac:dyDescent="0.25">
      <c r="A79" t="str">
        <f>"71163565"</f>
        <v>71163565</v>
      </c>
      <c r="B79" t="s">
        <v>117</v>
      </c>
      <c r="C79" t="s">
        <v>37</v>
      </c>
      <c r="D79" t="str">
        <f t="shared" si="6"/>
        <v>561444</v>
      </c>
      <c r="E79" t="s">
        <v>113</v>
      </c>
      <c r="F79" t="s">
        <v>38</v>
      </c>
    </row>
    <row r="80" spans="1:6" x14ac:dyDescent="0.25">
      <c r="A80" t="str">
        <f>"26572664"</f>
        <v>26572664</v>
      </c>
      <c r="B80" t="s">
        <v>118</v>
      </c>
      <c r="C80" t="s">
        <v>7</v>
      </c>
      <c r="D80" t="str">
        <f t="shared" si="6"/>
        <v>561444</v>
      </c>
      <c r="E80" t="s">
        <v>113</v>
      </c>
      <c r="F80" t="s">
        <v>11</v>
      </c>
    </row>
    <row r="81" spans="1:6" x14ac:dyDescent="0.25">
      <c r="A81" t="str">
        <f>"26583020"</f>
        <v>26583020</v>
      </c>
      <c r="B81" t="s">
        <v>119</v>
      </c>
      <c r="C81" t="s">
        <v>7</v>
      </c>
      <c r="D81" t="str">
        <f t="shared" si="6"/>
        <v>561444</v>
      </c>
      <c r="E81" t="s">
        <v>113</v>
      </c>
      <c r="F81" t="s">
        <v>9</v>
      </c>
    </row>
    <row r="82" spans="1:6" x14ac:dyDescent="0.25">
      <c r="A82" t="str">
        <f>"22876065"</f>
        <v>22876065</v>
      </c>
      <c r="B82" t="s">
        <v>120</v>
      </c>
      <c r="C82" t="s">
        <v>7</v>
      </c>
      <c r="D82" t="str">
        <f t="shared" si="6"/>
        <v>561444</v>
      </c>
      <c r="E82" t="s">
        <v>113</v>
      </c>
      <c r="F82" t="s">
        <v>11</v>
      </c>
    </row>
    <row r="83" spans="1:6" x14ac:dyDescent="0.25">
      <c r="A83" t="str">
        <f>"07323689"</f>
        <v>07323689</v>
      </c>
      <c r="B83" t="s">
        <v>121</v>
      </c>
      <c r="C83" t="s">
        <v>7</v>
      </c>
      <c r="D83" t="str">
        <f t="shared" si="6"/>
        <v>561444</v>
      </c>
      <c r="E83" t="s">
        <v>113</v>
      </c>
      <c r="F83" t="s">
        <v>11</v>
      </c>
    </row>
    <row r="84" spans="1:6" x14ac:dyDescent="0.25">
      <c r="A84" t="str">
        <f>"48282529"</f>
        <v>48282529</v>
      </c>
      <c r="B84" t="s">
        <v>122</v>
      </c>
      <c r="C84" t="s">
        <v>7</v>
      </c>
      <c r="D84" t="str">
        <f t="shared" si="6"/>
        <v>561444</v>
      </c>
      <c r="E84" t="s">
        <v>113</v>
      </c>
      <c r="F84" t="s">
        <v>38</v>
      </c>
    </row>
    <row r="85" spans="1:6" x14ac:dyDescent="0.25">
      <c r="A85" t="str">
        <f>"28678419"</f>
        <v>28678419</v>
      </c>
      <c r="B85" t="s">
        <v>123</v>
      </c>
      <c r="C85" t="s">
        <v>124</v>
      </c>
      <c r="D85" t="str">
        <f t="shared" si="6"/>
        <v>561444</v>
      </c>
      <c r="E85" t="s">
        <v>113</v>
      </c>
      <c r="F85" t="s">
        <v>13</v>
      </c>
    </row>
    <row r="86" spans="1:6" x14ac:dyDescent="0.25">
      <c r="A86" t="str">
        <f>"09898760"</f>
        <v>09898760</v>
      </c>
      <c r="B86" t="s">
        <v>125</v>
      </c>
      <c r="C86" t="s">
        <v>7</v>
      </c>
      <c r="D86" t="str">
        <f t="shared" si="6"/>
        <v>561444</v>
      </c>
      <c r="E86" t="s">
        <v>113</v>
      </c>
      <c r="F86" t="s">
        <v>18</v>
      </c>
    </row>
    <row r="87" spans="1:6" x14ac:dyDescent="0.25">
      <c r="A87" t="str">
        <f>"73634158"</f>
        <v>73634158</v>
      </c>
      <c r="B87" t="s">
        <v>126</v>
      </c>
      <c r="C87" t="s">
        <v>43</v>
      </c>
      <c r="D87" t="str">
        <f t="shared" si="6"/>
        <v>561444</v>
      </c>
      <c r="E87" t="s">
        <v>113</v>
      </c>
      <c r="F87" t="s">
        <v>44</v>
      </c>
    </row>
    <row r="88" spans="1:6" x14ac:dyDescent="0.25">
      <c r="A88" t="str">
        <f>"01881418"</f>
        <v>01881418</v>
      </c>
      <c r="B88" t="s">
        <v>127</v>
      </c>
      <c r="C88" t="s">
        <v>7</v>
      </c>
      <c r="D88" t="str">
        <f t="shared" si="6"/>
        <v>561444</v>
      </c>
      <c r="E88" t="s">
        <v>113</v>
      </c>
      <c r="F88" t="s">
        <v>13</v>
      </c>
    </row>
    <row r="89" spans="1:6" x14ac:dyDescent="0.25">
      <c r="A89" t="str">
        <f>"70226261"</f>
        <v>70226261</v>
      </c>
      <c r="B89" t="s">
        <v>128</v>
      </c>
      <c r="C89" t="s">
        <v>15</v>
      </c>
      <c r="D89" t="str">
        <f t="shared" si="6"/>
        <v>561444</v>
      </c>
      <c r="E89" t="s">
        <v>113</v>
      </c>
      <c r="F89" t="s">
        <v>16</v>
      </c>
    </row>
    <row r="90" spans="1:6" x14ac:dyDescent="0.25">
      <c r="A90" t="str">
        <f>"26645769"</f>
        <v>26645769</v>
      </c>
      <c r="B90" t="s">
        <v>129</v>
      </c>
      <c r="C90" t="s">
        <v>7</v>
      </c>
      <c r="D90" t="str">
        <f t="shared" si="6"/>
        <v>561444</v>
      </c>
      <c r="E90" t="s">
        <v>113</v>
      </c>
      <c r="F90" t="s">
        <v>11</v>
      </c>
    </row>
    <row r="91" spans="1:6" x14ac:dyDescent="0.25">
      <c r="A91" t="str">
        <f>"46750274"</f>
        <v>46750274</v>
      </c>
      <c r="B91" t="s">
        <v>130</v>
      </c>
      <c r="C91" t="s">
        <v>7</v>
      </c>
      <c r="D91" t="str">
        <f t="shared" si="6"/>
        <v>561444</v>
      </c>
      <c r="E91" t="s">
        <v>113</v>
      </c>
      <c r="F91" t="s">
        <v>9</v>
      </c>
    </row>
    <row r="92" spans="1:6" x14ac:dyDescent="0.25">
      <c r="A92" t="str">
        <f>"21620814"</f>
        <v>21620814</v>
      </c>
      <c r="B92" t="s">
        <v>131</v>
      </c>
      <c r="C92" t="s">
        <v>7</v>
      </c>
      <c r="D92" t="str">
        <f t="shared" si="6"/>
        <v>561444</v>
      </c>
      <c r="E92" t="s">
        <v>113</v>
      </c>
      <c r="F92" t="s">
        <v>62</v>
      </c>
    </row>
    <row r="93" spans="1:6" x14ac:dyDescent="0.25">
      <c r="A93" t="str">
        <f>"19444044"</f>
        <v>19444044</v>
      </c>
      <c r="B93" t="s">
        <v>132</v>
      </c>
      <c r="C93" t="s">
        <v>7</v>
      </c>
      <c r="D93" t="str">
        <f t="shared" si="6"/>
        <v>561444</v>
      </c>
      <c r="E93" t="s">
        <v>113</v>
      </c>
      <c r="F93" t="s">
        <v>11</v>
      </c>
    </row>
    <row r="94" spans="1:6" x14ac:dyDescent="0.25">
      <c r="A94" t="str">
        <f>"62014242"</f>
        <v>62014242</v>
      </c>
      <c r="B94" t="s">
        <v>133</v>
      </c>
      <c r="C94" t="s">
        <v>15</v>
      </c>
      <c r="D94" t="str">
        <f>"577031"</f>
        <v>577031</v>
      </c>
      <c r="E94" t="s">
        <v>134</v>
      </c>
      <c r="F94" t="s">
        <v>16</v>
      </c>
    </row>
    <row r="95" spans="1:6" x14ac:dyDescent="0.25">
      <c r="A95" t="str">
        <f>"22844252"</f>
        <v>22844252</v>
      </c>
      <c r="B95" t="s">
        <v>135</v>
      </c>
      <c r="C95" t="s">
        <v>7</v>
      </c>
      <c r="D95" t="str">
        <f t="shared" ref="D95:D107" si="7">"563935"</f>
        <v>563935</v>
      </c>
      <c r="E95" t="s">
        <v>136</v>
      </c>
      <c r="F95" t="s">
        <v>137</v>
      </c>
    </row>
    <row r="96" spans="1:6" x14ac:dyDescent="0.25">
      <c r="A96" t="str">
        <f>"22751149"</f>
        <v>22751149</v>
      </c>
      <c r="B96" t="s">
        <v>138</v>
      </c>
      <c r="C96" t="s">
        <v>7</v>
      </c>
      <c r="D96" t="str">
        <f t="shared" si="7"/>
        <v>563935</v>
      </c>
      <c r="E96" t="s">
        <v>136</v>
      </c>
      <c r="F96" t="s">
        <v>139</v>
      </c>
    </row>
    <row r="97" spans="1:6" x14ac:dyDescent="0.25">
      <c r="A97" t="str">
        <f>"46745840"</f>
        <v>46745840</v>
      </c>
      <c r="B97" t="s">
        <v>140</v>
      </c>
      <c r="C97" t="s">
        <v>7</v>
      </c>
      <c r="D97" t="str">
        <f t="shared" si="7"/>
        <v>563935</v>
      </c>
      <c r="E97" t="s">
        <v>136</v>
      </c>
      <c r="F97" t="s">
        <v>38</v>
      </c>
    </row>
    <row r="98" spans="1:6" x14ac:dyDescent="0.25">
      <c r="A98" t="str">
        <f>"65635507"</f>
        <v>65635507</v>
      </c>
      <c r="B98" t="s">
        <v>141</v>
      </c>
      <c r="C98" t="s">
        <v>7</v>
      </c>
      <c r="D98" t="str">
        <f t="shared" si="7"/>
        <v>563935</v>
      </c>
      <c r="E98" t="s">
        <v>136</v>
      </c>
      <c r="F98" t="s">
        <v>38</v>
      </c>
    </row>
    <row r="99" spans="1:6" x14ac:dyDescent="0.25">
      <c r="A99" t="str">
        <f>"26539641"</f>
        <v>26539641</v>
      </c>
      <c r="B99" t="s">
        <v>142</v>
      </c>
      <c r="C99" t="s">
        <v>7</v>
      </c>
      <c r="D99" t="str">
        <f t="shared" si="7"/>
        <v>563935</v>
      </c>
      <c r="E99" t="s">
        <v>136</v>
      </c>
      <c r="F99" t="s">
        <v>11</v>
      </c>
    </row>
    <row r="100" spans="1:6" x14ac:dyDescent="0.25">
      <c r="A100" t="str">
        <f>"09404791"</f>
        <v>09404791</v>
      </c>
      <c r="B100" t="s">
        <v>143</v>
      </c>
      <c r="C100" t="s">
        <v>20</v>
      </c>
      <c r="D100" t="str">
        <f t="shared" si="7"/>
        <v>563935</v>
      </c>
      <c r="E100" t="s">
        <v>136</v>
      </c>
      <c r="F100" t="s">
        <v>21</v>
      </c>
    </row>
    <row r="101" spans="1:6" x14ac:dyDescent="0.25">
      <c r="A101" t="str">
        <f>"66111951"</f>
        <v>66111951</v>
      </c>
      <c r="B101" t="s">
        <v>144</v>
      </c>
      <c r="C101" t="s">
        <v>7</v>
      </c>
      <c r="D101" t="str">
        <f t="shared" si="7"/>
        <v>563935</v>
      </c>
      <c r="E101" t="s">
        <v>136</v>
      </c>
      <c r="F101" t="s">
        <v>11</v>
      </c>
    </row>
    <row r="102" spans="1:6" x14ac:dyDescent="0.25">
      <c r="A102" t="str">
        <f>"26672952"</f>
        <v>26672952</v>
      </c>
      <c r="B102" t="s">
        <v>145</v>
      </c>
      <c r="C102" t="s">
        <v>7</v>
      </c>
      <c r="D102" t="str">
        <f t="shared" si="7"/>
        <v>563935</v>
      </c>
      <c r="E102" t="s">
        <v>136</v>
      </c>
      <c r="F102" t="s">
        <v>11</v>
      </c>
    </row>
    <row r="103" spans="1:6" x14ac:dyDescent="0.25">
      <c r="A103" t="str">
        <f>"49111817"</f>
        <v>49111817</v>
      </c>
      <c r="B103" t="s">
        <v>146</v>
      </c>
      <c r="C103" t="s">
        <v>15</v>
      </c>
      <c r="D103" t="str">
        <f t="shared" si="7"/>
        <v>563935</v>
      </c>
      <c r="E103" t="s">
        <v>136</v>
      </c>
      <c r="F103" t="s">
        <v>16</v>
      </c>
    </row>
    <row r="104" spans="1:6" x14ac:dyDescent="0.25">
      <c r="A104" t="str">
        <f>"06404324"</f>
        <v>06404324</v>
      </c>
      <c r="B104" t="s">
        <v>147</v>
      </c>
      <c r="C104" t="s">
        <v>7</v>
      </c>
      <c r="D104" t="str">
        <f t="shared" si="7"/>
        <v>563935</v>
      </c>
      <c r="E104" t="s">
        <v>136</v>
      </c>
      <c r="F104" t="s">
        <v>18</v>
      </c>
    </row>
    <row r="105" spans="1:6" x14ac:dyDescent="0.25">
      <c r="A105" t="str">
        <f>"22852018"</f>
        <v>22852018</v>
      </c>
      <c r="B105" t="s">
        <v>148</v>
      </c>
      <c r="C105" t="s">
        <v>7</v>
      </c>
      <c r="D105" t="str">
        <f t="shared" si="7"/>
        <v>563935</v>
      </c>
      <c r="E105" t="s">
        <v>136</v>
      </c>
      <c r="F105" t="s">
        <v>11</v>
      </c>
    </row>
    <row r="106" spans="1:6" x14ac:dyDescent="0.25">
      <c r="A106" t="str">
        <f>"46746447"</f>
        <v>46746447</v>
      </c>
      <c r="B106" t="s">
        <v>149</v>
      </c>
      <c r="C106" t="s">
        <v>7</v>
      </c>
      <c r="D106" t="str">
        <f t="shared" si="7"/>
        <v>563935</v>
      </c>
      <c r="E106" t="s">
        <v>136</v>
      </c>
      <c r="F106" t="s">
        <v>9</v>
      </c>
    </row>
    <row r="107" spans="1:6" x14ac:dyDescent="0.25">
      <c r="A107" t="str">
        <f>"08187801"</f>
        <v>08187801</v>
      </c>
      <c r="B107" t="s">
        <v>150</v>
      </c>
      <c r="C107" t="s">
        <v>7</v>
      </c>
      <c r="D107" t="str">
        <f t="shared" si="7"/>
        <v>563935</v>
      </c>
      <c r="E107" t="s">
        <v>136</v>
      </c>
      <c r="F107" t="s">
        <v>11</v>
      </c>
    </row>
    <row r="108" spans="1:6" x14ac:dyDescent="0.25">
      <c r="A108" t="str">
        <f>"62013742"</f>
        <v>62013742</v>
      </c>
      <c r="B108" t="s">
        <v>151</v>
      </c>
      <c r="C108" t="s">
        <v>15</v>
      </c>
      <c r="D108" t="str">
        <f>"577049"</f>
        <v>577049</v>
      </c>
      <c r="E108" t="s">
        <v>152</v>
      </c>
      <c r="F108" t="s">
        <v>16</v>
      </c>
    </row>
    <row r="109" spans="1:6" x14ac:dyDescent="0.25">
      <c r="A109" t="str">
        <f>"70915067"</f>
        <v>70915067</v>
      </c>
      <c r="B109" t="s">
        <v>153</v>
      </c>
      <c r="C109" t="s">
        <v>7</v>
      </c>
      <c r="D109" t="str">
        <f>"577049"</f>
        <v>577049</v>
      </c>
      <c r="E109" t="s">
        <v>152</v>
      </c>
      <c r="F109" t="s">
        <v>9</v>
      </c>
    </row>
    <row r="110" spans="1:6" x14ac:dyDescent="0.25">
      <c r="A110" t="str">
        <f>"26994488"</f>
        <v>26994488</v>
      </c>
      <c r="B110" t="s">
        <v>154</v>
      </c>
      <c r="C110" t="s">
        <v>7</v>
      </c>
      <c r="D110" t="str">
        <f t="shared" ref="D110:D128" si="8">"563901"</f>
        <v>563901</v>
      </c>
      <c r="E110" t="s">
        <v>155</v>
      </c>
      <c r="F110" t="s">
        <v>9</v>
      </c>
    </row>
    <row r="111" spans="1:6" x14ac:dyDescent="0.25">
      <c r="A111" t="str">
        <f>"46745513"</f>
        <v>46745513</v>
      </c>
      <c r="B111" t="s">
        <v>156</v>
      </c>
      <c r="C111" t="s">
        <v>37</v>
      </c>
      <c r="D111" t="str">
        <f t="shared" si="8"/>
        <v>563901</v>
      </c>
      <c r="E111" t="s">
        <v>155</v>
      </c>
      <c r="F111" t="s">
        <v>38</v>
      </c>
    </row>
    <row r="112" spans="1:6" x14ac:dyDescent="0.25">
      <c r="A112" t="str">
        <f>"46745467"</f>
        <v>46745467</v>
      </c>
      <c r="B112" t="s">
        <v>157</v>
      </c>
      <c r="C112" t="s">
        <v>37</v>
      </c>
      <c r="D112" t="str">
        <f t="shared" si="8"/>
        <v>563901</v>
      </c>
      <c r="E112" t="s">
        <v>155</v>
      </c>
      <c r="F112" t="s">
        <v>38</v>
      </c>
    </row>
    <row r="113" spans="1:6" x14ac:dyDescent="0.25">
      <c r="A113" t="str">
        <f>"46745424"</f>
        <v>46745424</v>
      </c>
      <c r="B113" t="s">
        <v>158</v>
      </c>
      <c r="C113" t="s">
        <v>37</v>
      </c>
      <c r="D113" t="str">
        <f t="shared" si="8"/>
        <v>563901</v>
      </c>
      <c r="E113" t="s">
        <v>155</v>
      </c>
      <c r="F113" t="s">
        <v>38</v>
      </c>
    </row>
    <row r="114" spans="1:6" x14ac:dyDescent="0.25">
      <c r="A114" t="str">
        <f>"07924852"</f>
        <v>07924852</v>
      </c>
      <c r="B114" t="s">
        <v>159</v>
      </c>
      <c r="C114" t="s">
        <v>27</v>
      </c>
      <c r="D114" t="str">
        <f t="shared" si="8"/>
        <v>563901</v>
      </c>
      <c r="E114" t="s">
        <v>155</v>
      </c>
      <c r="F114" t="s">
        <v>160</v>
      </c>
    </row>
    <row r="115" spans="1:6" x14ac:dyDescent="0.25">
      <c r="A115" t="str">
        <f>"21499217"</f>
        <v>21499217</v>
      </c>
      <c r="B115" t="s">
        <v>161</v>
      </c>
      <c r="C115" t="s">
        <v>27</v>
      </c>
      <c r="D115" t="str">
        <f t="shared" si="8"/>
        <v>563901</v>
      </c>
      <c r="E115" t="s">
        <v>155</v>
      </c>
      <c r="F115" t="s">
        <v>11</v>
      </c>
    </row>
    <row r="116" spans="1:6" x14ac:dyDescent="0.25">
      <c r="A116" t="str">
        <f>"46745637"</f>
        <v>46745637</v>
      </c>
      <c r="B116" t="s">
        <v>162</v>
      </c>
      <c r="C116" t="s">
        <v>7</v>
      </c>
      <c r="D116" t="str">
        <f t="shared" si="8"/>
        <v>563901</v>
      </c>
      <c r="E116" t="s">
        <v>155</v>
      </c>
      <c r="F116" t="s">
        <v>38</v>
      </c>
    </row>
    <row r="117" spans="1:6" x14ac:dyDescent="0.25">
      <c r="A117" t="str">
        <f>"65635469"</f>
        <v>65635469</v>
      </c>
      <c r="B117" t="s">
        <v>163</v>
      </c>
      <c r="C117" t="s">
        <v>7</v>
      </c>
      <c r="D117" t="str">
        <f t="shared" si="8"/>
        <v>563901</v>
      </c>
      <c r="E117" t="s">
        <v>155</v>
      </c>
      <c r="F117" t="s">
        <v>38</v>
      </c>
    </row>
    <row r="118" spans="1:6" x14ac:dyDescent="0.25">
      <c r="A118" t="str">
        <f>"46745700"</f>
        <v>46745700</v>
      </c>
      <c r="B118" t="s">
        <v>164</v>
      </c>
      <c r="C118" t="s">
        <v>7</v>
      </c>
      <c r="D118" t="str">
        <f t="shared" si="8"/>
        <v>563901</v>
      </c>
      <c r="E118" t="s">
        <v>155</v>
      </c>
      <c r="F118" t="s">
        <v>38</v>
      </c>
    </row>
    <row r="119" spans="1:6" x14ac:dyDescent="0.25">
      <c r="A119" t="str">
        <f>"26670577"</f>
        <v>26670577</v>
      </c>
      <c r="B119" t="s">
        <v>165</v>
      </c>
      <c r="C119" t="s">
        <v>7</v>
      </c>
      <c r="D119" t="str">
        <f t="shared" si="8"/>
        <v>563901</v>
      </c>
      <c r="E119" t="s">
        <v>155</v>
      </c>
      <c r="F119" t="s">
        <v>11</v>
      </c>
    </row>
    <row r="120" spans="1:6" x14ac:dyDescent="0.25">
      <c r="A120" t="str">
        <f>"49112040"</f>
        <v>49112040</v>
      </c>
      <c r="B120" t="s">
        <v>166</v>
      </c>
      <c r="C120" t="s">
        <v>15</v>
      </c>
      <c r="D120" t="str">
        <f t="shared" si="8"/>
        <v>563901</v>
      </c>
      <c r="E120" t="s">
        <v>155</v>
      </c>
      <c r="F120" t="s">
        <v>16</v>
      </c>
    </row>
    <row r="121" spans="1:6" x14ac:dyDescent="0.25">
      <c r="A121" t="str">
        <f>"49112082"</f>
        <v>49112082</v>
      </c>
      <c r="B121" t="s">
        <v>167</v>
      </c>
      <c r="C121" t="s">
        <v>15</v>
      </c>
      <c r="D121" t="str">
        <f t="shared" si="8"/>
        <v>563901</v>
      </c>
      <c r="E121" t="s">
        <v>155</v>
      </c>
      <c r="F121" t="s">
        <v>16</v>
      </c>
    </row>
    <row r="122" spans="1:6" x14ac:dyDescent="0.25">
      <c r="A122" t="str">
        <f>"49112031"</f>
        <v>49112031</v>
      </c>
      <c r="B122" t="s">
        <v>168</v>
      </c>
      <c r="C122" t="s">
        <v>15</v>
      </c>
      <c r="D122" t="str">
        <f t="shared" si="8"/>
        <v>563901</v>
      </c>
      <c r="E122" t="s">
        <v>155</v>
      </c>
      <c r="F122" t="s">
        <v>16</v>
      </c>
    </row>
    <row r="123" spans="1:6" x14ac:dyDescent="0.25">
      <c r="A123" t="str">
        <f>"49112074"</f>
        <v>49112074</v>
      </c>
      <c r="B123" t="s">
        <v>169</v>
      </c>
      <c r="C123" t="s">
        <v>15</v>
      </c>
      <c r="D123" t="str">
        <f t="shared" si="8"/>
        <v>563901</v>
      </c>
      <c r="E123" t="s">
        <v>155</v>
      </c>
      <c r="F123" t="s">
        <v>16</v>
      </c>
    </row>
    <row r="124" spans="1:6" x14ac:dyDescent="0.25">
      <c r="A124" t="str">
        <f>"49112066"</f>
        <v>49112066</v>
      </c>
      <c r="B124" t="s">
        <v>170</v>
      </c>
      <c r="C124" t="s">
        <v>15</v>
      </c>
      <c r="D124" t="str">
        <f t="shared" si="8"/>
        <v>563901</v>
      </c>
      <c r="E124" t="s">
        <v>155</v>
      </c>
      <c r="F124" t="s">
        <v>16</v>
      </c>
    </row>
    <row r="125" spans="1:6" x14ac:dyDescent="0.25">
      <c r="A125" t="str">
        <f>"49112058"</f>
        <v>49112058</v>
      </c>
      <c r="B125" t="s">
        <v>171</v>
      </c>
      <c r="C125" t="s">
        <v>15</v>
      </c>
      <c r="D125" t="str">
        <f t="shared" si="8"/>
        <v>563901</v>
      </c>
      <c r="E125" t="s">
        <v>155</v>
      </c>
      <c r="F125" t="s">
        <v>16</v>
      </c>
    </row>
    <row r="126" spans="1:6" x14ac:dyDescent="0.25">
      <c r="A126" t="str">
        <f>"44225041"</f>
        <v>44225041</v>
      </c>
      <c r="B126" t="s">
        <v>172</v>
      </c>
      <c r="C126" t="s">
        <v>15</v>
      </c>
      <c r="D126" t="str">
        <f t="shared" si="8"/>
        <v>563901</v>
      </c>
      <c r="E126" t="s">
        <v>155</v>
      </c>
      <c r="F126" t="s">
        <v>9</v>
      </c>
    </row>
    <row r="127" spans="1:6" x14ac:dyDescent="0.25">
      <c r="A127" t="str">
        <f>"27028585"</f>
        <v>27028585</v>
      </c>
      <c r="B127" t="s">
        <v>173</v>
      </c>
      <c r="C127" t="s">
        <v>7</v>
      </c>
      <c r="D127" t="str">
        <f t="shared" si="8"/>
        <v>563901</v>
      </c>
      <c r="E127" t="s">
        <v>155</v>
      </c>
      <c r="F127" t="s">
        <v>62</v>
      </c>
    </row>
    <row r="128" spans="1:6" x14ac:dyDescent="0.25">
      <c r="A128" t="str">
        <f>"05604681"</f>
        <v>05604681</v>
      </c>
      <c r="B128" t="s">
        <v>174</v>
      </c>
      <c r="C128" t="s">
        <v>7</v>
      </c>
      <c r="D128" t="str">
        <f t="shared" si="8"/>
        <v>563901</v>
      </c>
      <c r="E128" t="s">
        <v>155</v>
      </c>
      <c r="F128" t="s">
        <v>11</v>
      </c>
    </row>
    <row r="129" spans="1:6" x14ac:dyDescent="0.25">
      <c r="A129" t="str">
        <f>"86595008"</f>
        <v>86595008</v>
      </c>
      <c r="B129" t="s">
        <v>175</v>
      </c>
      <c r="C129" t="s">
        <v>7</v>
      </c>
      <c r="D129" t="str">
        <f t="shared" ref="D129:D141" si="9">"563919"</f>
        <v>563919</v>
      </c>
      <c r="E129" t="s">
        <v>176</v>
      </c>
      <c r="F129" t="s">
        <v>29</v>
      </c>
    </row>
    <row r="130" spans="1:6" x14ac:dyDescent="0.25">
      <c r="A130" t="str">
        <f>"71171096"</f>
        <v>71171096</v>
      </c>
      <c r="B130" t="s">
        <v>177</v>
      </c>
      <c r="C130" t="s">
        <v>37</v>
      </c>
      <c r="D130" t="str">
        <f t="shared" si="9"/>
        <v>563919</v>
      </c>
      <c r="E130" t="s">
        <v>176</v>
      </c>
      <c r="F130" t="s">
        <v>38</v>
      </c>
    </row>
    <row r="131" spans="1:6" x14ac:dyDescent="0.25">
      <c r="A131" t="str">
        <f>"69292108"</f>
        <v>69292108</v>
      </c>
      <c r="B131" t="s">
        <v>178</v>
      </c>
      <c r="C131" t="s">
        <v>7</v>
      </c>
      <c r="D131" t="str">
        <f t="shared" si="9"/>
        <v>563919</v>
      </c>
      <c r="E131" t="s">
        <v>176</v>
      </c>
      <c r="F131" t="s">
        <v>11</v>
      </c>
    </row>
    <row r="132" spans="1:6" x14ac:dyDescent="0.25">
      <c r="A132" t="str">
        <f>"46749021"</f>
        <v>46749021</v>
      </c>
      <c r="B132" t="s">
        <v>179</v>
      </c>
      <c r="C132" t="s">
        <v>7</v>
      </c>
      <c r="D132" t="str">
        <f t="shared" si="9"/>
        <v>563919</v>
      </c>
      <c r="E132" t="s">
        <v>176</v>
      </c>
      <c r="F132" t="s">
        <v>11</v>
      </c>
    </row>
    <row r="133" spans="1:6" x14ac:dyDescent="0.25">
      <c r="A133" t="str">
        <f>"65100646"</f>
        <v>65100646</v>
      </c>
      <c r="B133" t="s">
        <v>180</v>
      </c>
      <c r="C133" t="s">
        <v>7</v>
      </c>
      <c r="D133" t="str">
        <f t="shared" si="9"/>
        <v>563919</v>
      </c>
      <c r="E133" t="s">
        <v>176</v>
      </c>
      <c r="F133" t="s">
        <v>38</v>
      </c>
    </row>
    <row r="134" spans="1:6" x14ac:dyDescent="0.25">
      <c r="A134" t="str">
        <f>"46745866"</f>
        <v>46745866</v>
      </c>
      <c r="B134" t="s">
        <v>181</v>
      </c>
      <c r="C134" t="s">
        <v>7</v>
      </c>
      <c r="D134" t="str">
        <f t="shared" si="9"/>
        <v>563919</v>
      </c>
      <c r="E134" t="s">
        <v>176</v>
      </c>
      <c r="F134" t="s">
        <v>38</v>
      </c>
    </row>
    <row r="135" spans="1:6" x14ac:dyDescent="0.25">
      <c r="A135" t="str">
        <f>"06370802"</f>
        <v>06370802</v>
      </c>
      <c r="B135" t="s">
        <v>182</v>
      </c>
      <c r="C135" t="s">
        <v>124</v>
      </c>
      <c r="D135" t="str">
        <f t="shared" si="9"/>
        <v>563919</v>
      </c>
      <c r="E135" t="s">
        <v>176</v>
      </c>
      <c r="F135" t="s">
        <v>183</v>
      </c>
    </row>
    <row r="136" spans="1:6" x14ac:dyDescent="0.25">
      <c r="A136" t="str">
        <f>"03537269"</f>
        <v>03537269</v>
      </c>
      <c r="B136" t="s">
        <v>184</v>
      </c>
      <c r="C136" t="s">
        <v>7</v>
      </c>
      <c r="D136" t="str">
        <f t="shared" si="9"/>
        <v>563919</v>
      </c>
      <c r="E136" t="s">
        <v>176</v>
      </c>
      <c r="F136" t="s">
        <v>137</v>
      </c>
    </row>
    <row r="137" spans="1:6" x14ac:dyDescent="0.25">
      <c r="A137" t="str">
        <f>"22881280"</f>
        <v>22881280</v>
      </c>
      <c r="B137" t="s">
        <v>185</v>
      </c>
      <c r="C137" t="s">
        <v>7</v>
      </c>
      <c r="D137" t="str">
        <f t="shared" si="9"/>
        <v>563919</v>
      </c>
      <c r="E137" t="s">
        <v>176</v>
      </c>
      <c r="F137" t="s">
        <v>139</v>
      </c>
    </row>
    <row r="138" spans="1:6" x14ac:dyDescent="0.25">
      <c r="A138" t="str">
        <f>"02685744"</f>
        <v>02685744</v>
      </c>
      <c r="B138" t="s">
        <v>186</v>
      </c>
      <c r="C138" t="s">
        <v>7</v>
      </c>
      <c r="D138" t="str">
        <f t="shared" si="9"/>
        <v>563919</v>
      </c>
      <c r="E138" t="s">
        <v>176</v>
      </c>
      <c r="F138" t="s">
        <v>11</v>
      </c>
    </row>
    <row r="139" spans="1:6" x14ac:dyDescent="0.25">
      <c r="A139" t="str">
        <f>"02500701"</f>
        <v>02500701</v>
      </c>
      <c r="B139" t="s">
        <v>187</v>
      </c>
      <c r="C139" t="s">
        <v>7</v>
      </c>
      <c r="D139" t="str">
        <f t="shared" si="9"/>
        <v>563919</v>
      </c>
      <c r="E139" t="s">
        <v>176</v>
      </c>
      <c r="F139" t="s">
        <v>11</v>
      </c>
    </row>
    <row r="140" spans="1:6" x14ac:dyDescent="0.25">
      <c r="A140" t="str">
        <f>"64039285"</f>
        <v>64039285</v>
      </c>
      <c r="B140" t="s">
        <v>188</v>
      </c>
      <c r="C140" t="s">
        <v>15</v>
      </c>
      <c r="D140" t="str">
        <f t="shared" si="9"/>
        <v>563919</v>
      </c>
      <c r="E140" t="s">
        <v>176</v>
      </c>
      <c r="F140" t="s">
        <v>16</v>
      </c>
    </row>
    <row r="141" spans="1:6" x14ac:dyDescent="0.25">
      <c r="A141" t="str">
        <f>"46744401"</f>
        <v>46744401</v>
      </c>
      <c r="B141" t="s">
        <v>189</v>
      </c>
      <c r="C141" t="s">
        <v>7</v>
      </c>
      <c r="D141" t="str">
        <f t="shared" si="9"/>
        <v>563919</v>
      </c>
      <c r="E141" t="s">
        <v>176</v>
      </c>
      <c r="F141" t="s">
        <v>9</v>
      </c>
    </row>
    <row r="142" spans="1:6" x14ac:dyDescent="0.25">
      <c r="A142" t="str">
        <f>"26622629"</f>
        <v>26622629</v>
      </c>
      <c r="B142" t="s">
        <v>190</v>
      </c>
      <c r="C142" t="s">
        <v>7</v>
      </c>
      <c r="D142" t="str">
        <f t="shared" ref="D142:D150" si="10">"546631"</f>
        <v>546631</v>
      </c>
      <c r="E142" t="s">
        <v>191</v>
      </c>
      <c r="F142" t="s">
        <v>11</v>
      </c>
    </row>
    <row r="143" spans="1:6" x14ac:dyDescent="0.25">
      <c r="A143" t="str">
        <f>"03882683"</f>
        <v>03882683</v>
      </c>
      <c r="B143" t="s">
        <v>192</v>
      </c>
      <c r="C143" t="s">
        <v>7</v>
      </c>
      <c r="D143" t="str">
        <f t="shared" si="10"/>
        <v>546631</v>
      </c>
      <c r="E143" t="s">
        <v>191</v>
      </c>
      <c r="F143" t="s">
        <v>11</v>
      </c>
    </row>
    <row r="144" spans="1:6" x14ac:dyDescent="0.25">
      <c r="A144" t="str">
        <f>"01439987"</f>
        <v>01439987</v>
      </c>
      <c r="B144" t="s">
        <v>193</v>
      </c>
      <c r="C144" t="s">
        <v>7</v>
      </c>
      <c r="D144" t="str">
        <f t="shared" si="10"/>
        <v>546631</v>
      </c>
      <c r="E144" t="s">
        <v>191</v>
      </c>
      <c r="F144" t="s">
        <v>11</v>
      </c>
    </row>
    <row r="145" spans="1:6" x14ac:dyDescent="0.25">
      <c r="A145" t="str">
        <f>"09044167"</f>
        <v>09044167</v>
      </c>
      <c r="B145" t="s">
        <v>194</v>
      </c>
      <c r="C145" t="s">
        <v>7</v>
      </c>
      <c r="D145" t="str">
        <f t="shared" si="10"/>
        <v>546631</v>
      </c>
      <c r="E145" t="s">
        <v>191</v>
      </c>
      <c r="F145" t="s">
        <v>29</v>
      </c>
    </row>
    <row r="146" spans="1:6" x14ac:dyDescent="0.25">
      <c r="A146" t="str">
        <f>"01260405"</f>
        <v>01260405</v>
      </c>
      <c r="B146" t="s">
        <v>195</v>
      </c>
      <c r="C146" t="s">
        <v>7</v>
      </c>
      <c r="D146" t="str">
        <f t="shared" si="10"/>
        <v>546631</v>
      </c>
      <c r="E146" t="s">
        <v>191</v>
      </c>
      <c r="F146" t="s">
        <v>11</v>
      </c>
    </row>
    <row r="147" spans="1:6" x14ac:dyDescent="0.25">
      <c r="A147" t="str">
        <f>"22718427"</f>
        <v>22718427</v>
      </c>
      <c r="B147" t="s">
        <v>196</v>
      </c>
      <c r="C147" t="s">
        <v>7</v>
      </c>
      <c r="D147" t="str">
        <f t="shared" si="10"/>
        <v>546631</v>
      </c>
      <c r="E147" t="s">
        <v>191</v>
      </c>
      <c r="F147" t="s">
        <v>139</v>
      </c>
    </row>
    <row r="148" spans="1:6" x14ac:dyDescent="0.25">
      <c r="A148" t="str">
        <f>"49111914"</f>
        <v>49111914</v>
      </c>
      <c r="B148" t="s">
        <v>197</v>
      </c>
      <c r="C148" t="s">
        <v>15</v>
      </c>
      <c r="D148" t="str">
        <f t="shared" si="10"/>
        <v>546631</v>
      </c>
      <c r="E148" t="s">
        <v>191</v>
      </c>
      <c r="F148" t="s">
        <v>16</v>
      </c>
    </row>
    <row r="149" spans="1:6" x14ac:dyDescent="0.25">
      <c r="A149" t="str">
        <f>"27056155"</f>
        <v>27056155</v>
      </c>
      <c r="B149" t="s">
        <v>198</v>
      </c>
      <c r="C149" t="s">
        <v>7</v>
      </c>
      <c r="D149" t="str">
        <f t="shared" si="10"/>
        <v>546631</v>
      </c>
      <c r="E149" t="s">
        <v>191</v>
      </c>
      <c r="F149" t="s">
        <v>9</v>
      </c>
    </row>
    <row r="150" spans="1:6" x14ac:dyDescent="0.25">
      <c r="A150" t="str">
        <f>"26644304"</f>
        <v>26644304</v>
      </c>
      <c r="B150" t="s">
        <v>199</v>
      </c>
      <c r="C150" t="s">
        <v>7</v>
      </c>
      <c r="D150" t="str">
        <f t="shared" si="10"/>
        <v>546631</v>
      </c>
      <c r="E150" t="s">
        <v>191</v>
      </c>
      <c r="F150" t="s">
        <v>11</v>
      </c>
    </row>
    <row r="151" spans="1:6" x14ac:dyDescent="0.25">
      <c r="A151" t="str">
        <f>"21024839"</f>
        <v>21024839</v>
      </c>
      <c r="B151" t="s">
        <v>200</v>
      </c>
      <c r="C151" t="s">
        <v>7</v>
      </c>
      <c r="D151" t="str">
        <f>"576972"</f>
        <v>576972</v>
      </c>
      <c r="E151" t="s">
        <v>201</v>
      </c>
      <c r="F151" t="s">
        <v>62</v>
      </c>
    </row>
    <row r="152" spans="1:6" x14ac:dyDescent="0.25">
      <c r="A152" t="str">
        <f>"62013718"</f>
        <v>62013718</v>
      </c>
      <c r="B152" t="s">
        <v>202</v>
      </c>
      <c r="C152" t="s">
        <v>15</v>
      </c>
      <c r="D152" t="str">
        <f>"576972"</f>
        <v>576972</v>
      </c>
      <c r="E152" t="s">
        <v>201</v>
      </c>
      <c r="F152" t="s">
        <v>16</v>
      </c>
    </row>
    <row r="153" spans="1:6" x14ac:dyDescent="0.25">
      <c r="A153" t="str">
        <f>"15043118"</f>
        <v>15043118</v>
      </c>
      <c r="B153" t="s">
        <v>203</v>
      </c>
      <c r="C153" t="s">
        <v>7</v>
      </c>
      <c r="D153" t="str">
        <f>"576972"</f>
        <v>576972</v>
      </c>
      <c r="E153" t="s">
        <v>201</v>
      </c>
      <c r="F153" t="s">
        <v>35</v>
      </c>
    </row>
    <row r="154" spans="1:6" x14ac:dyDescent="0.25">
      <c r="A154" t="str">
        <f>"64039137"</f>
        <v>64039137</v>
      </c>
      <c r="B154" t="s">
        <v>204</v>
      </c>
      <c r="C154" t="s">
        <v>15</v>
      </c>
      <c r="D154" t="str">
        <f>"563943"</f>
        <v>563943</v>
      </c>
      <c r="E154" t="s">
        <v>205</v>
      </c>
      <c r="F154" t="s">
        <v>16</v>
      </c>
    </row>
    <row r="155" spans="1:6" x14ac:dyDescent="0.25">
      <c r="A155" t="str">
        <f>"22606637"</f>
        <v>22606637</v>
      </c>
      <c r="B155" t="s">
        <v>206</v>
      </c>
      <c r="C155" t="s">
        <v>7</v>
      </c>
      <c r="D155" t="str">
        <f>"563943"</f>
        <v>563943</v>
      </c>
      <c r="E155" t="s">
        <v>205</v>
      </c>
      <c r="F155" t="s">
        <v>11</v>
      </c>
    </row>
    <row r="156" spans="1:6" x14ac:dyDescent="0.25">
      <c r="A156" t="str">
        <f>"75127881"</f>
        <v>75127881</v>
      </c>
      <c r="B156" t="s">
        <v>207</v>
      </c>
      <c r="C156" t="s">
        <v>37</v>
      </c>
      <c r="D156" t="str">
        <f t="shared" ref="D156:D162" si="11">"561614"</f>
        <v>561614</v>
      </c>
      <c r="E156" t="s">
        <v>208</v>
      </c>
      <c r="F156" t="s">
        <v>38</v>
      </c>
    </row>
    <row r="157" spans="1:6" x14ac:dyDescent="0.25">
      <c r="A157" t="str">
        <f>"63778629"</f>
        <v>63778629</v>
      </c>
      <c r="B157" t="s">
        <v>209</v>
      </c>
      <c r="C157" t="s">
        <v>7</v>
      </c>
      <c r="D157" t="str">
        <f t="shared" si="11"/>
        <v>561614</v>
      </c>
      <c r="E157" t="s">
        <v>208</v>
      </c>
      <c r="F157" t="s">
        <v>38</v>
      </c>
    </row>
    <row r="158" spans="1:6" x14ac:dyDescent="0.25">
      <c r="A158" t="str">
        <f>"48282073"</f>
        <v>48282073</v>
      </c>
      <c r="B158" t="s">
        <v>210</v>
      </c>
      <c r="C158" t="s">
        <v>7</v>
      </c>
      <c r="D158" t="str">
        <f t="shared" si="11"/>
        <v>561614</v>
      </c>
      <c r="E158" t="s">
        <v>208</v>
      </c>
      <c r="F158" t="s">
        <v>38</v>
      </c>
    </row>
    <row r="159" spans="1:6" x14ac:dyDescent="0.25">
      <c r="A159" t="str">
        <f>"27012506"</f>
        <v>27012506</v>
      </c>
      <c r="B159" t="s">
        <v>211</v>
      </c>
      <c r="C159" t="s">
        <v>7</v>
      </c>
      <c r="D159" t="str">
        <f t="shared" si="11"/>
        <v>561614</v>
      </c>
      <c r="E159" t="s">
        <v>208</v>
      </c>
      <c r="F159" t="s">
        <v>11</v>
      </c>
    </row>
    <row r="160" spans="1:6" x14ac:dyDescent="0.25">
      <c r="A160" t="str">
        <f>"07376308"</f>
        <v>07376308</v>
      </c>
      <c r="B160" t="s">
        <v>212</v>
      </c>
      <c r="C160" t="s">
        <v>7</v>
      </c>
      <c r="D160" t="str">
        <f t="shared" si="11"/>
        <v>561614</v>
      </c>
      <c r="E160" t="s">
        <v>208</v>
      </c>
      <c r="F160" t="s">
        <v>11</v>
      </c>
    </row>
    <row r="161" spans="1:6" x14ac:dyDescent="0.25">
      <c r="A161" t="str">
        <f>"22372156"</f>
        <v>22372156</v>
      </c>
      <c r="B161" t="s">
        <v>213</v>
      </c>
      <c r="C161" t="s">
        <v>7</v>
      </c>
      <c r="D161" t="str">
        <f t="shared" si="11"/>
        <v>561614</v>
      </c>
      <c r="E161" t="s">
        <v>208</v>
      </c>
      <c r="F161" t="s">
        <v>11</v>
      </c>
    </row>
    <row r="162" spans="1:6" x14ac:dyDescent="0.25">
      <c r="A162" t="str">
        <f>"43222013"</f>
        <v>43222013</v>
      </c>
      <c r="B162" t="s">
        <v>214</v>
      </c>
      <c r="C162" t="s">
        <v>20</v>
      </c>
      <c r="D162" t="str">
        <f t="shared" si="11"/>
        <v>561614</v>
      </c>
      <c r="E162" t="s">
        <v>208</v>
      </c>
      <c r="F162" t="s">
        <v>21</v>
      </c>
    </row>
    <row r="163" spans="1:6" x14ac:dyDescent="0.25">
      <c r="A163" t="str">
        <f>"04961251"</f>
        <v>04961251</v>
      </c>
      <c r="B163" t="s">
        <v>215</v>
      </c>
      <c r="C163" t="s">
        <v>7</v>
      </c>
      <c r="D163" t="str">
        <f>"561622"</f>
        <v>561622</v>
      </c>
      <c r="E163" t="s">
        <v>216</v>
      </c>
      <c r="F163" t="s">
        <v>18</v>
      </c>
    </row>
    <row r="164" spans="1:6" x14ac:dyDescent="0.25">
      <c r="A164" t="str">
        <f>"22668128"</f>
        <v>22668128</v>
      </c>
      <c r="B164" t="s">
        <v>217</v>
      </c>
      <c r="C164" t="s">
        <v>7</v>
      </c>
      <c r="D164" t="str">
        <f>"561622"</f>
        <v>561622</v>
      </c>
      <c r="E164" t="s">
        <v>216</v>
      </c>
      <c r="F164" t="s">
        <v>9</v>
      </c>
    </row>
    <row r="165" spans="1:6" x14ac:dyDescent="0.25">
      <c r="A165" t="str">
        <f>"19847505"</f>
        <v>19847505</v>
      </c>
      <c r="B165" t="s">
        <v>218</v>
      </c>
      <c r="C165" t="s">
        <v>7</v>
      </c>
      <c r="D165" t="str">
        <f t="shared" ref="D165:D173" si="12">"564109"</f>
        <v>564109</v>
      </c>
      <c r="E165" t="s">
        <v>219</v>
      </c>
      <c r="F165" t="s">
        <v>11</v>
      </c>
    </row>
    <row r="166" spans="1:6" x14ac:dyDescent="0.25">
      <c r="A166" t="str">
        <f>"71246771"</f>
        <v>71246771</v>
      </c>
      <c r="B166" t="s">
        <v>220</v>
      </c>
      <c r="C166" t="s">
        <v>15</v>
      </c>
      <c r="D166" t="str">
        <f t="shared" si="12"/>
        <v>564109</v>
      </c>
      <c r="E166" t="s">
        <v>219</v>
      </c>
      <c r="F166" t="s">
        <v>11</v>
      </c>
    </row>
    <row r="167" spans="1:6" x14ac:dyDescent="0.25">
      <c r="A167" t="str">
        <f>"22743081"</f>
        <v>22743081</v>
      </c>
      <c r="B167" t="s">
        <v>221</v>
      </c>
      <c r="C167" t="s">
        <v>7</v>
      </c>
      <c r="D167" t="str">
        <f t="shared" si="12"/>
        <v>564109</v>
      </c>
      <c r="E167" t="s">
        <v>219</v>
      </c>
      <c r="F167" t="s">
        <v>11</v>
      </c>
    </row>
    <row r="168" spans="1:6" x14ac:dyDescent="0.25">
      <c r="A168" t="str">
        <f>"26988836"</f>
        <v>26988836</v>
      </c>
      <c r="B168" t="s">
        <v>222</v>
      </c>
      <c r="C168" t="s">
        <v>7</v>
      </c>
      <c r="D168" t="str">
        <f t="shared" si="12"/>
        <v>564109</v>
      </c>
      <c r="E168" t="s">
        <v>219</v>
      </c>
      <c r="F168" t="s">
        <v>13</v>
      </c>
    </row>
    <row r="169" spans="1:6" x14ac:dyDescent="0.25">
      <c r="A169" t="str">
        <f>"70930457"</f>
        <v>70930457</v>
      </c>
      <c r="B169" t="s">
        <v>223</v>
      </c>
      <c r="C169" t="s">
        <v>7</v>
      </c>
      <c r="D169" t="str">
        <f t="shared" si="12"/>
        <v>564109</v>
      </c>
      <c r="E169" t="s">
        <v>219</v>
      </c>
      <c r="F169" t="s">
        <v>38</v>
      </c>
    </row>
    <row r="170" spans="1:6" x14ac:dyDescent="0.25">
      <c r="A170" t="str">
        <f>"64039340"</f>
        <v>64039340</v>
      </c>
      <c r="B170" t="s">
        <v>224</v>
      </c>
      <c r="C170" t="s">
        <v>15</v>
      </c>
      <c r="D170" t="str">
        <f t="shared" si="12"/>
        <v>564109</v>
      </c>
      <c r="E170" t="s">
        <v>219</v>
      </c>
      <c r="F170" t="s">
        <v>16</v>
      </c>
    </row>
    <row r="171" spans="1:6" x14ac:dyDescent="0.25">
      <c r="A171" t="str">
        <f>"05484146"</f>
        <v>05484146</v>
      </c>
      <c r="B171" t="s">
        <v>225</v>
      </c>
      <c r="C171" t="s">
        <v>7</v>
      </c>
      <c r="D171" t="str">
        <f t="shared" si="12"/>
        <v>564109</v>
      </c>
      <c r="E171" t="s">
        <v>219</v>
      </c>
      <c r="F171" t="s">
        <v>13</v>
      </c>
    </row>
    <row r="172" spans="1:6" x14ac:dyDescent="0.25">
      <c r="A172" t="str">
        <f>"26655276"</f>
        <v>26655276</v>
      </c>
      <c r="B172" t="s">
        <v>226</v>
      </c>
      <c r="C172" t="s">
        <v>7</v>
      </c>
      <c r="D172" t="str">
        <f t="shared" si="12"/>
        <v>564109</v>
      </c>
      <c r="E172" t="s">
        <v>219</v>
      </c>
      <c r="F172" t="s">
        <v>11</v>
      </c>
    </row>
    <row r="173" spans="1:6" x14ac:dyDescent="0.25">
      <c r="A173" t="str">
        <f>"46745106"</f>
        <v>46745106</v>
      </c>
      <c r="B173" t="s">
        <v>227</v>
      </c>
      <c r="C173" t="s">
        <v>15</v>
      </c>
      <c r="D173" t="str">
        <f t="shared" si="12"/>
        <v>564109</v>
      </c>
      <c r="E173" t="s">
        <v>219</v>
      </c>
      <c r="F173" t="s">
        <v>9</v>
      </c>
    </row>
    <row r="174" spans="1:6" x14ac:dyDescent="0.25">
      <c r="A174" t="str">
        <f>"70226181"</f>
        <v>70226181</v>
      </c>
      <c r="B174" t="s">
        <v>228</v>
      </c>
      <c r="C174" t="s">
        <v>15</v>
      </c>
      <c r="D174" t="str">
        <f t="shared" ref="D174:D205" si="13">"564117"</f>
        <v>564117</v>
      </c>
      <c r="E174" t="s">
        <v>229</v>
      </c>
      <c r="F174" t="s">
        <v>11</v>
      </c>
    </row>
    <row r="175" spans="1:6" x14ac:dyDescent="0.25">
      <c r="A175" t="str">
        <f>"46748563"</f>
        <v>46748563</v>
      </c>
      <c r="B175" t="s">
        <v>230</v>
      </c>
      <c r="C175" t="s">
        <v>15</v>
      </c>
      <c r="D175" t="str">
        <f t="shared" si="13"/>
        <v>564117</v>
      </c>
      <c r="E175" t="s">
        <v>229</v>
      </c>
      <c r="F175" t="s">
        <v>9</v>
      </c>
    </row>
    <row r="176" spans="1:6" x14ac:dyDescent="0.25">
      <c r="A176" t="str">
        <f>"02330318"</f>
        <v>02330318</v>
      </c>
      <c r="B176" t="s">
        <v>231</v>
      </c>
      <c r="C176" t="s">
        <v>7</v>
      </c>
      <c r="D176" t="str">
        <f t="shared" si="13"/>
        <v>564117</v>
      </c>
      <c r="E176" t="s">
        <v>229</v>
      </c>
      <c r="F176" t="s">
        <v>11</v>
      </c>
    </row>
    <row r="177" spans="1:6" x14ac:dyDescent="0.25">
      <c r="A177" t="str">
        <f>"07848749"</f>
        <v>07848749</v>
      </c>
      <c r="B177" t="s">
        <v>232</v>
      </c>
      <c r="C177" t="s">
        <v>7</v>
      </c>
      <c r="D177" t="str">
        <f t="shared" si="13"/>
        <v>564117</v>
      </c>
      <c r="E177" t="s">
        <v>229</v>
      </c>
      <c r="F177" t="s">
        <v>11</v>
      </c>
    </row>
    <row r="178" spans="1:6" x14ac:dyDescent="0.25">
      <c r="A178" t="str">
        <f>"70200599"</f>
        <v>70200599</v>
      </c>
      <c r="B178" t="s">
        <v>233</v>
      </c>
      <c r="C178" t="s">
        <v>7</v>
      </c>
      <c r="D178" t="str">
        <f t="shared" si="13"/>
        <v>564117</v>
      </c>
      <c r="E178" t="s">
        <v>229</v>
      </c>
      <c r="F178" t="s">
        <v>11</v>
      </c>
    </row>
    <row r="179" spans="1:6" x14ac:dyDescent="0.25">
      <c r="A179" t="str">
        <f>"22754539"</f>
        <v>22754539</v>
      </c>
      <c r="B179" t="s">
        <v>234</v>
      </c>
      <c r="C179" t="s">
        <v>7</v>
      </c>
      <c r="D179" t="str">
        <f t="shared" si="13"/>
        <v>564117</v>
      </c>
      <c r="E179" t="s">
        <v>229</v>
      </c>
      <c r="F179" t="s">
        <v>11</v>
      </c>
    </row>
    <row r="180" spans="1:6" x14ac:dyDescent="0.25">
      <c r="A180" t="str">
        <f>"07155671"</f>
        <v>07155671</v>
      </c>
      <c r="B180" t="s">
        <v>235</v>
      </c>
      <c r="C180" t="s">
        <v>7</v>
      </c>
      <c r="D180" t="str">
        <f t="shared" si="13"/>
        <v>564117</v>
      </c>
      <c r="E180" t="s">
        <v>229</v>
      </c>
      <c r="F180" t="s">
        <v>11</v>
      </c>
    </row>
    <row r="181" spans="1:6" x14ac:dyDescent="0.25">
      <c r="A181" t="str">
        <f>"46748351"</f>
        <v>46748351</v>
      </c>
      <c r="B181" t="s">
        <v>236</v>
      </c>
      <c r="C181" t="s">
        <v>15</v>
      </c>
      <c r="D181" t="str">
        <f t="shared" si="13"/>
        <v>564117</v>
      </c>
      <c r="E181" t="s">
        <v>229</v>
      </c>
      <c r="F181" t="s">
        <v>29</v>
      </c>
    </row>
    <row r="182" spans="1:6" x14ac:dyDescent="0.25">
      <c r="A182" t="str">
        <f>"00482579"</f>
        <v>00482579</v>
      </c>
      <c r="B182" t="s">
        <v>237</v>
      </c>
      <c r="C182" t="s">
        <v>15</v>
      </c>
      <c r="D182" t="str">
        <f t="shared" si="13"/>
        <v>564117</v>
      </c>
      <c r="E182" t="s">
        <v>229</v>
      </c>
      <c r="F182" t="s">
        <v>29</v>
      </c>
    </row>
    <row r="183" spans="1:6" x14ac:dyDescent="0.25">
      <c r="A183" t="str">
        <f>"46747087"</f>
        <v>46747087</v>
      </c>
      <c r="B183" t="s">
        <v>238</v>
      </c>
      <c r="C183" t="s">
        <v>15</v>
      </c>
      <c r="D183" t="str">
        <f t="shared" si="13"/>
        <v>564117</v>
      </c>
      <c r="E183" t="s">
        <v>229</v>
      </c>
      <c r="F183" t="s">
        <v>29</v>
      </c>
    </row>
    <row r="184" spans="1:6" x14ac:dyDescent="0.25">
      <c r="A184" t="str">
        <f>"71238867"</f>
        <v>71238867</v>
      </c>
      <c r="B184" t="s">
        <v>239</v>
      </c>
      <c r="C184" t="s">
        <v>15</v>
      </c>
      <c r="D184" t="str">
        <f t="shared" si="13"/>
        <v>564117</v>
      </c>
      <c r="E184" t="s">
        <v>229</v>
      </c>
      <c r="F184" t="s">
        <v>35</v>
      </c>
    </row>
    <row r="185" spans="1:6" x14ac:dyDescent="0.25">
      <c r="A185" t="str">
        <f>"21441049"</f>
        <v>21441049</v>
      </c>
      <c r="B185" t="s">
        <v>240</v>
      </c>
      <c r="C185" t="s">
        <v>7</v>
      </c>
      <c r="D185" t="str">
        <f t="shared" si="13"/>
        <v>564117</v>
      </c>
      <c r="E185" t="s">
        <v>229</v>
      </c>
      <c r="F185" t="s">
        <v>139</v>
      </c>
    </row>
    <row r="186" spans="1:6" x14ac:dyDescent="0.25">
      <c r="A186" t="str">
        <f>"01522876"</f>
        <v>01522876</v>
      </c>
      <c r="B186" t="s">
        <v>241</v>
      </c>
      <c r="C186" t="s">
        <v>7</v>
      </c>
      <c r="D186" t="str">
        <f t="shared" si="13"/>
        <v>564117</v>
      </c>
      <c r="E186" t="s">
        <v>229</v>
      </c>
      <c r="F186" t="s">
        <v>11</v>
      </c>
    </row>
    <row r="187" spans="1:6" x14ac:dyDescent="0.25">
      <c r="A187" t="str">
        <f>"02741598"</f>
        <v>02741598</v>
      </c>
      <c r="B187" t="s">
        <v>242</v>
      </c>
      <c r="C187" t="s">
        <v>7</v>
      </c>
      <c r="D187" t="str">
        <f t="shared" si="13"/>
        <v>564117</v>
      </c>
      <c r="E187" t="s">
        <v>229</v>
      </c>
      <c r="F187" t="s">
        <v>62</v>
      </c>
    </row>
    <row r="188" spans="1:6" x14ac:dyDescent="0.25">
      <c r="A188" t="str">
        <f>"26582601"</f>
        <v>26582601</v>
      </c>
      <c r="B188" t="s">
        <v>243</v>
      </c>
      <c r="C188" t="s">
        <v>7</v>
      </c>
      <c r="D188" t="str">
        <f t="shared" si="13"/>
        <v>564117</v>
      </c>
      <c r="E188" t="s">
        <v>229</v>
      </c>
      <c r="F188" t="s">
        <v>11</v>
      </c>
    </row>
    <row r="189" spans="1:6" x14ac:dyDescent="0.25">
      <c r="A189" t="str">
        <f>"26582864"</f>
        <v>26582864</v>
      </c>
      <c r="B189" t="s">
        <v>244</v>
      </c>
      <c r="C189" t="s">
        <v>7</v>
      </c>
      <c r="D189" t="str">
        <f t="shared" si="13"/>
        <v>564117</v>
      </c>
      <c r="E189" t="s">
        <v>229</v>
      </c>
      <c r="F189" t="s">
        <v>9</v>
      </c>
    </row>
    <row r="190" spans="1:6" x14ac:dyDescent="0.25">
      <c r="A190" t="str">
        <f>"19941579"</f>
        <v>19941579</v>
      </c>
      <c r="B190" t="s">
        <v>245</v>
      </c>
      <c r="C190" t="s">
        <v>7</v>
      </c>
      <c r="D190" t="str">
        <f t="shared" si="13"/>
        <v>564117</v>
      </c>
      <c r="E190" t="s">
        <v>229</v>
      </c>
      <c r="F190" t="s">
        <v>11</v>
      </c>
    </row>
    <row r="191" spans="1:6" x14ac:dyDescent="0.25">
      <c r="A191" t="str">
        <f>"71153730"</f>
        <v>71153730</v>
      </c>
      <c r="B191" t="s">
        <v>246</v>
      </c>
      <c r="C191" t="s">
        <v>37</v>
      </c>
      <c r="D191" t="str">
        <f t="shared" si="13"/>
        <v>564117</v>
      </c>
      <c r="E191" t="s">
        <v>229</v>
      </c>
      <c r="F191" t="s">
        <v>38</v>
      </c>
    </row>
    <row r="192" spans="1:6" x14ac:dyDescent="0.25">
      <c r="A192" t="str">
        <f>"26552205"</f>
        <v>26552205</v>
      </c>
      <c r="B192" t="s">
        <v>247</v>
      </c>
      <c r="C192" t="s">
        <v>7</v>
      </c>
      <c r="D192" t="str">
        <f t="shared" si="13"/>
        <v>564117</v>
      </c>
      <c r="E192" t="s">
        <v>229</v>
      </c>
      <c r="F192" t="s">
        <v>9</v>
      </c>
    </row>
    <row r="193" spans="1:6" x14ac:dyDescent="0.25">
      <c r="A193" t="str">
        <f>"26632241"</f>
        <v>26632241</v>
      </c>
      <c r="B193" t="s">
        <v>248</v>
      </c>
      <c r="C193" t="s">
        <v>7</v>
      </c>
      <c r="D193" t="str">
        <f t="shared" si="13"/>
        <v>564117</v>
      </c>
      <c r="E193" t="s">
        <v>229</v>
      </c>
      <c r="F193" t="s">
        <v>9</v>
      </c>
    </row>
    <row r="194" spans="1:6" x14ac:dyDescent="0.25">
      <c r="A194" t="str">
        <f>"65635540"</f>
        <v>65635540</v>
      </c>
      <c r="B194" t="s">
        <v>249</v>
      </c>
      <c r="C194" t="s">
        <v>15</v>
      </c>
      <c r="D194" t="str">
        <f t="shared" si="13"/>
        <v>564117</v>
      </c>
      <c r="E194" t="s">
        <v>229</v>
      </c>
      <c r="F194" t="s">
        <v>29</v>
      </c>
    </row>
    <row r="195" spans="1:6" x14ac:dyDescent="0.25">
      <c r="A195" t="str">
        <f>"70835624"</f>
        <v>70835624</v>
      </c>
      <c r="B195" t="s">
        <v>250</v>
      </c>
      <c r="C195" t="s">
        <v>7</v>
      </c>
      <c r="D195" t="str">
        <f t="shared" si="13"/>
        <v>564117</v>
      </c>
      <c r="E195" t="s">
        <v>229</v>
      </c>
      <c r="F195" t="s">
        <v>11</v>
      </c>
    </row>
    <row r="196" spans="1:6" x14ac:dyDescent="0.25">
      <c r="A196" t="str">
        <f>"05806101"</f>
        <v>05806101</v>
      </c>
      <c r="B196" t="s">
        <v>251</v>
      </c>
      <c r="C196" t="s">
        <v>7</v>
      </c>
      <c r="D196" t="str">
        <f t="shared" si="13"/>
        <v>564117</v>
      </c>
      <c r="E196" t="s">
        <v>229</v>
      </c>
      <c r="F196" t="s">
        <v>139</v>
      </c>
    </row>
    <row r="197" spans="1:6" x14ac:dyDescent="0.25">
      <c r="A197" t="str">
        <f>"22732578"</f>
        <v>22732578</v>
      </c>
      <c r="B197" t="s">
        <v>252</v>
      </c>
      <c r="C197" t="s">
        <v>7</v>
      </c>
      <c r="D197" t="str">
        <f t="shared" si="13"/>
        <v>564117</v>
      </c>
      <c r="E197" t="s">
        <v>229</v>
      </c>
      <c r="F197" t="s">
        <v>9</v>
      </c>
    </row>
    <row r="198" spans="1:6" x14ac:dyDescent="0.25">
      <c r="A198" t="str">
        <f>"70200262"</f>
        <v>70200262</v>
      </c>
      <c r="B198" t="s">
        <v>253</v>
      </c>
      <c r="C198" t="s">
        <v>7</v>
      </c>
      <c r="D198" t="str">
        <f t="shared" si="13"/>
        <v>564117</v>
      </c>
      <c r="E198" t="s">
        <v>229</v>
      </c>
      <c r="F198" t="s">
        <v>254</v>
      </c>
    </row>
    <row r="199" spans="1:6" x14ac:dyDescent="0.25">
      <c r="A199" t="str">
        <f>"17100399"</f>
        <v>17100399</v>
      </c>
      <c r="B199" t="s">
        <v>255</v>
      </c>
      <c r="C199" t="s">
        <v>7</v>
      </c>
      <c r="D199" t="str">
        <f t="shared" si="13"/>
        <v>564117</v>
      </c>
      <c r="E199" t="s">
        <v>229</v>
      </c>
      <c r="F199" t="s">
        <v>139</v>
      </c>
    </row>
    <row r="200" spans="1:6" x14ac:dyDescent="0.25">
      <c r="A200" t="str">
        <f>"66110017"</f>
        <v>66110017</v>
      </c>
      <c r="B200" t="s">
        <v>256</v>
      </c>
      <c r="C200" t="s">
        <v>15</v>
      </c>
      <c r="D200" t="str">
        <f t="shared" si="13"/>
        <v>564117</v>
      </c>
      <c r="E200" t="s">
        <v>229</v>
      </c>
      <c r="F200" t="s">
        <v>29</v>
      </c>
    </row>
    <row r="201" spans="1:6" x14ac:dyDescent="0.25">
      <c r="A201" t="str">
        <f>"68429355"</f>
        <v>68429355</v>
      </c>
      <c r="B201" t="s">
        <v>257</v>
      </c>
      <c r="C201" t="s">
        <v>15</v>
      </c>
      <c r="D201" t="str">
        <f t="shared" si="13"/>
        <v>564117</v>
      </c>
      <c r="E201" t="s">
        <v>229</v>
      </c>
      <c r="F201" t="s">
        <v>11</v>
      </c>
    </row>
    <row r="202" spans="1:6" x14ac:dyDescent="0.25">
      <c r="A202" t="str">
        <f>"75052547"</f>
        <v>75052547</v>
      </c>
      <c r="B202" t="s">
        <v>258</v>
      </c>
      <c r="C202" t="s">
        <v>15</v>
      </c>
      <c r="D202" t="str">
        <f t="shared" si="13"/>
        <v>564117</v>
      </c>
      <c r="E202" t="s">
        <v>229</v>
      </c>
      <c r="F202" t="s">
        <v>35</v>
      </c>
    </row>
    <row r="203" spans="1:6" x14ac:dyDescent="0.25">
      <c r="A203" t="str">
        <f>"08222266"</f>
        <v>08222266</v>
      </c>
      <c r="B203" t="s">
        <v>259</v>
      </c>
      <c r="C203" t="s">
        <v>7</v>
      </c>
      <c r="D203" t="str">
        <f t="shared" si="13"/>
        <v>564117</v>
      </c>
      <c r="E203" t="s">
        <v>229</v>
      </c>
      <c r="F203" t="s">
        <v>11</v>
      </c>
    </row>
    <row r="204" spans="1:6" x14ac:dyDescent="0.25">
      <c r="A204" t="str">
        <f>"48282162"</f>
        <v>48282162</v>
      </c>
      <c r="B204" t="s">
        <v>260</v>
      </c>
      <c r="C204" t="s">
        <v>7</v>
      </c>
      <c r="D204" t="str">
        <f t="shared" si="13"/>
        <v>564117</v>
      </c>
      <c r="E204" t="s">
        <v>229</v>
      </c>
      <c r="F204" t="s">
        <v>38</v>
      </c>
    </row>
    <row r="205" spans="1:6" x14ac:dyDescent="0.25">
      <c r="A205" t="str">
        <f>"46745912"</f>
        <v>46745912</v>
      </c>
      <c r="B205" t="s">
        <v>261</v>
      </c>
      <c r="C205" t="s">
        <v>7</v>
      </c>
      <c r="D205" t="str">
        <f t="shared" si="13"/>
        <v>564117</v>
      </c>
      <c r="E205" t="s">
        <v>229</v>
      </c>
      <c r="F205" t="s">
        <v>38</v>
      </c>
    </row>
    <row r="206" spans="1:6" x14ac:dyDescent="0.25">
      <c r="A206" t="str">
        <f>"22663291"</f>
        <v>22663291</v>
      </c>
      <c r="B206" t="s">
        <v>262</v>
      </c>
      <c r="C206" t="s">
        <v>7</v>
      </c>
      <c r="D206" t="str">
        <f t="shared" ref="D206:D236" si="14">"564117"</f>
        <v>564117</v>
      </c>
      <c r="E206" t="s">
        <v>229</v>
      </c>
      <c r="F206" t="s">
        <v>11</v>
      </c>
    </row>
    <row r="207" spans="1:6" x14ac:dyDescent="0.25">
      <c r="A207" t="str">
        <f>"26656400"</f>
        <v>26656400</v>
      </c>
      <c r="B207" t="s">
        <v>263</v>
      </c>
      <c r="C207" t="s">
        <v>7</v>
      </c>
      <c r="D207" t="str">
        <f t="shared" si="14"/>
        <v>564117</v>
      </c>
      <c r="E207" t="s">
        <v>229</v>
      </c>
      <c r="F207" t="s">
        <v>11</v>
      </c>
    </row>
    <row r="208" spans="1:6" x14ac:dyDescent="0.25">
      <c r="A208" t="str">
        <f>"46748318"</f>
        <v>46748318</v>
      </c>
      <c r="B208" t="s">
        <v>264</v>
      </c>
      <c r="C208" t="s">
        <v>7</v>
      </c>
      <c r="D208" t="str">
        <f t="shared" si="14"/>
        <v>564117</v>
      </c>
      <c r="E208" t="s">
        <v>229</v>
      </c>
      <c r="F208" t="s">
        <v>35</v>
      </c>
    </row>
    <row r="209" spans="1:6" x14ac:dyDescent="0.25">
      <c r="A209" t="str">
        <f>"70875332"</f>
        <v>70875332</v>
      </c>
      <c r="B209" t="s">
        <v>265</v>
      </c>
      <c r="C209" t="s">
        <v>7</v>
      </c>
      <c r="D209" t="str">
        <f t="shared" si="14"/>
        <v>564117</v>
      </c>
      <c r="E209" t="s">
        <v>229</v>
      </c>
      <c r="F209" t="s">
        <v>29</v>
      </c>
    </row>
    <row r="210" spans="1:6" x14ac:dyDescent="0.25">
      <c r="A210" t="str">
        <f>"09034897"</f>
        <v>09034897</v>
      </c>
      <c r="B210" t="s">
        <v>266</v>
      </c>
      <c r="C210" t="s">
        <v>7</v>
      </c>
      <c r="D210" t="str">
        <f t="shared" si="14"/>
        <v>564117</v>
      </c>
      <c r="E210" t="s">
        <v>229</v>
      </c>
      <c r="F210" t="s">
        <v>29</v>
      </c>
    </row>
    <row r="211" spans="1:6" x14ac:dyDescent="0.25">
      <c r="A211" t="str">
        <f>"06627421"</f>
        <v>06627421</v>
      </c>
      <c r="B211" t="s">
        <v>267</v>
      </c>
      <c r="C211" t="s">
        <v>27</v>
      </c>
      <c r="D211" t="str">
        <f t="shared" si="14"/>
        <v>564117</v>
      </c>
      <c r="E211" t="s">
        <v>229</v>
      </c>
      <c r="F211" t="s">
        <v>268</v>
      </c>
    </row>
    <row r="212" spans="1:6" x14ac:dyDescent="0.25">
      <c r="A212" t="str">
        <f>"70809151"</f>
        <v>70809151</v>
      </c>
      <c r="B212" t="s">
        <v>269</v>
      </c>
      <c r="C212" t="s">
        <v>7</v>
      </c>
      <c r="D212" t="str">
        <f t="shared" si="14"/>
        <v>564117</v>
      </c>
      <c r="E212" t="s">
        <v>229</v>
      </c>
      <c r="F212" t="s">
        <v>11</v>
      </c>
    </row>
    <row r="213" spans="1:6" x14ac:dyDescent="0.25">
      <c r="A213" t="str">
        <f>"46745815"</f>
        <v>46745815</v>
      </c>
      <c r="B213" t="s">
        <v>270</v>
      </c>
      <c r="C213" t="s">
        <v>43</v>
      </c>
      <c r="D213" t="str">
        <f t="shared" si="14"/>
        <v>564117</v>
      </c>
      <c r="E213" t="s">
        <v>229</v>
      </c>
      <c r="F213" t="s">
        <v>44</v>
      </c>
    </row>
    <row r="214" spans="1:6" x14ac:dyDescent="0.25">
      <c r="A214" t="str">
        <f>"26606577"</f>
        <v>26606577</v>
      </c>
      <c r="B214" t="s">
        <v>271</v>
      </c>
      <c r="C214" t="s">
        <v>7</v>
      </c>
      <c r="D214" t="str">
        <f t="shared" si="14"/>
        <v>564117</v>
      </c>
      <c r="E214" t="s">
        <v>229</v>
      </c>
      <c r="F214" t="s">
        <v>11</v>
      </c>
    </row>
    <row r="215" spans="1:6" x14ac:dyDescent="0.25">
      <c r="A215" t="str">
        <f>"02424398"</f>
        <v>02424398</v>
      </c>
      <c r="B215" t="s">
        <v>272</v>
      </c>
      <c r="C215" t="s">
        <v>7</v>
      </c>
      <c r="D215" t="str">
        <f t="shared" si="14"/>
        <v>564117</v>
      </c>
      <c r="E215" t="s">
        <v>229</v>
      </c>
      <c r="F215" t="s">
        <v>29</v>
      </c>
    </row>
    <row r="216" spans="1:6" x14ac:dyDescent="0.25">
      <c r="A216" t="str">
        <f>"64039188"</f>
        <v>64039188</v>
      </c>
      <c r="B216" t="s">
        <v>273</v>
      </c>
      <c r="C216" t="s">
        <v>15</v>
      </c>
      <c r="D216" t="str">
        <f t="shared" si="14"/>
        <v>564117</v>
      </c>
      <c r="E216" t="s">
        <v>229</v>
      </c>
      <c r="F216" t="s">
        <v>16</v>
      </c>
    </row>
    <row r="217" spans="1:6" x14ac:dyDescent="0.25">
      <c r="A217" t="str">
        <f>"63777932"</f>
        <v>63777932</v>
      </c>
      <c r="B217" t="s">
        <v>274</v>
      </c>
      <c r="C217" t="s">
        <v>7</v>
      </c>
      <c r="D217" t="str">
        <f t="shared" si="14"/>
        <v>564117</v>
      </c>
      <c r="E217" t="s">
        <v>229</v>
      </c>
      <c r="F217" t="s">
        <v>254</v>
      </c>
    </row>
    <row r="218" spans="1:6" x14ac:dyDescent="0.25">
      <c r="A218" t="str">
        <f>"46747214"</f>
        <v>46747214</v>
      </c>
      <c r="B218" t="s">
        <v>275</v>
      </c>
      <c r="C218" t="s">
        <v>7</v>
      </c>
      <c r="D218" t="str">
        <f t="shared" si="14"/>
        <v>564117</v>
      </c>
      <c r="E218" t="s">
        <v>229</v>
      </c>
      <c r="F218" t="s">
        <v>11</v>
      </c>
    </row>
    <row r="219" spans="1:6" x14ac:dyDescent="0.25">
      <c r="A219" t="str">
        <f>"03105768"</f>
        <v>03105768</v>
      </c>
      <c r="B219" t="s">
        <v>276</v>
      </c>
      <c r="C219" t="s">
        <v>7</v>
      </c>
      <c r="D219" t="str">
        <f t="shared" si="14"/>
        <v>564117</v>
      </c>
      <c r="E219" t="s">
        <v>229</v>
      </c>
      <c r="F219" t="s">
        <v>13</v>
      </c>
    </row>
    <row r="220" spans="1:6" x14ac:dyDescent="0.25">
      <c r="A220" t="str">
        <f>"03566684"</f>
        <v>03566684</v>
      </c>
      <c r="B220" t="s">
        <v>277</v>
      </c>
      <c r="C220" t="s">
        <v>7</v>
      </c>
      <c r="D220" t="str">
        <f t="shared" si="14"/>
        <v>564117</v>
      </c>
      <c r="E220" t="s">
        <v>229</v>
      </c>
      <c r="F220" t="s">
        <v>11</v>
      </c>
    </row>
    <row r="221" spans="1:6" x14ac:dyDescent="0.25">
      <c r="A221" t="str">
        <f>"27011071"</f>
        <v>27011071</v>
      </c>
      <c r="B221" t="s">
        <v>278</v>
      </c>
      <c r="C221" t="s">
        <v>7</v>
      </c>
      <c r="D221" t="str">
        <f t="shared" si="14"/>
        <v>564117</v>
      </c>
      <c r="E221" t="s">
        <v>229</v>
      </c>
      <c r="F221" t="s">
        <v>9</v>
      </c>
    </row>
    <row r="222" spans="1:6" x14ac:dyDescent="0.25">
      <c r="A222" t="str">
        <f>"70873577"</f>
        <v>70873577</v>
      </c>
      <c r="B222" t="s">
        <v>279</v>
      </c>
      <c r="C222" t="s">
        <v>7</v>
      </c>
      <c r="D222" t="str">
        <f t="shared" si="14"/>
        <v>564117</v>
      </c>
      <c r="E222" t="s">
        <v>229</v>
      </c>
      <c r="F222" t="s">
        <v>11</v>
      </c>
    </row>
    <row r="223" spans="1:6" x14ac:dyDescent="0.25">
      <c r="A223" t="str">
        <f>"01443356"</f>
        <v>01443356</v>
      </c>
      <c r="B223" t="s">
        <v>280</v>
      </c>
      <c r="C223" t="s">
        <v>7</v>
      </c>
      <c r="D223" t="str">
        <f t="shared" si="14"/>
        <v>564117</v>
      </c>
      <c r="E223" t="s">
        <v>229</v>
      </c>
      <c r="F223" t="s">
        <v>29</v>
      </c>
    </row>
    <row r="224" spans="1:6" x14ac:dyDescent="0.25">
      <c r="A224" t="str">
        <f>"22742000"</f>
        <v>22742000</v>
      </c>
      <c r="B224" t="s">
        <v>281</v>
      </c>
      <c r="C224" t="s">
        <v>7</v>
      </c>
      <c r="D224" t="str">
        <f t="shared" si="14"/>
        <v>564117</v>
      </c>
      <c r="E224" t="s">
        <v>229</v>
      </c>
      <c r="F224" t="s">
        <v>139</v>
      </c>
    </row>
    <row r="225" spans="1:6" x14ac:dyDescent="0.25">
      <c r="A225" t="str">
        <f>"44223927"</f>
        <v>44223927</v>
      </c>
      <c r="B225" t="s">
        <v>282</v>
      </c>
      <c r="C225" t="s">
        <v>15</v>
      </c>
      <c r="D225" t="str">
        <f t="shared" si="14"/>
        <v>564117</v>
      </c>
      <c r="E225" t="s">
        <v>229</v>
      </c>
      <c r="F225" t="s">
        <v>9</v>
      </c>
    </row>
    <row r="226" spans="1:6" x14ac:dyDescent="0.25">
      <c r="A226" t="str">
        <f>"46746919"</f>
        <v>46746919</v>
      </c>
      <c r="B226" t="s">
        <v>283</v>
      </c>
      <c r="C226" t="s">
        <v>7</v>
      </c>
      <c r="D226" t="str">
        <f t="shared" si="14"/>
        <v>564117</v>
      </c>
      <c r="E226" t="s">
        <v>229</v>
      </c>
      <c r="F226" t="s">
        <v>9</v>
      </c>
    </row>
    <row r="227" spans="1:6" x14ac:dyDescent="0.25">
      <c r="A227" t="str">
        <f>"46744657"</f>
        <v>46744657</v>
      </c>
      <c r="B227" t="s">
        <v>284</v>
      </c>
      <c r="C227" t="s">
        <v>7</v>
      </c>
      <c r="D227" t="str">
        <f t="shared" si="14"/>
        <v>564117</v>
      </c>
      <c r="E227" t="s">
        <v>229</v>
      </c>
      <c r="F227" t="s">
        <v>9</v>
      </c>
    </row>
    <row r="228" spans="1:6" x14ac:dyDescent="0.25">
      <c r="A228" t="str">
        <f>"04897391"</f>
        <v>04897391</v>
      </c>
      <c r="B228" t="s">
        <v>285</v>
      </c>
      <c r="C228" t="s">
        <v>7</v>
      </c>
      <c r="D228" t="str">
        <f t="shared" si="14"/>
        <v>564117</v>
      </c>
      <c r="E228" t="s">
        <v>229</v>
      </c>
      <c r="F228" t="s">
        <v>11</v>
      </c>
    </row>
    <row r="229" spans="1:6" x14ac:dyDescent="0.25">
      <c r="A229" t="str">
        <f>"70956162"</f>
        <v>70956162</v>
      </c>
      <c r="B229" t="s">
        <v>286</v>
      </c>
      <c r="C229" t="s">
        <v>15</v>
      </c>
      <c r="D229" t="str">
        <f t="shared" si="14"/>
        <v>564117</v>
      </c>
      <c r="E229" t="s">
        <v>229</v>
      </c>
      <c r="F229" t="s">
        <v>11</v>
      </c>
    </row>
    <row r="230" spans="1:6" x14ac:dyDescent="0.25">
      <c r="A230" t="str">
        <f>"22354085"</f>
        <v>22354085</v>
      </c>
      <c r="B230" t="s">
        <v>287</v>
      </c>
      <c r="C230" t="s">
        <v>27</v>
      </c>
      <c r="D230" t="str">
        <f t="shared" si="14"/>
        <v>564117</v>
      </c>
      <c r="E230" t="s">
        <v>229</v>
      </c>
      <c r="F230" t="s">
        <v>11</v>
      </c>
    </row>
    <row r="231" spans="1:6" x14ac:dyDescent="0.25">
      <c r="A231" t="str">
        <f>"26988062"</f>
        <v>26988062</v>
      </c>
      <c r="B231" t="s">
        <v>288</v>
      </c>
      <c r="C231" t="s">
        <v>7</v>
      </c>
      <c r="D231" t="str">
        <f t="shared" si="14"/>
        <v>564117</v>
      </c>
      <c r="E231" t="s">
        <v>229</v>
      </c>
      <c r="F231" t="s">
        <v>11</v>
      </c>
    </row>
    <row r="232" spans="1:6" x14ac:dyDescent="0.25">
      <c r="A232" t="str">
        <f>"26989786"</f>
        <v>26989786</v>
      </c>
      <c r="B232" t="s">
        <v>289</v>
      </c>
      <c r="C232" t="s">
        <v>7</v>
      </c>
      <c r="D232" t="str">
        <f t="shared" si="14"/>
        <v>564117</v>
      </c>
      <c r="E232" t="s">
        <v>229</v>
      </c>
      <c r="F232" t="s">
        <v>11</v>
      </c>
    </row>
    <row r="233" spans="1:6" x14ac:dyDescent="0.25">
      <c r="A233" t="str">
        <f>"68455836"</f>
        <v>68455836</v>
      </c>
      <c r="B233" t="s">
        <v>290</v>
      </c>
      <c r="C233" t="s">
        <v>15</v>
      </c>
      <c r="D233" t="str">
        <f t="shared" si="14"/>
        <v>564117</v>
      </c>
      <c r="E233" t="s">
        <v>229</v>
      </c>
      <c r="F233" t="s">
        <v>29</v>
      </c>
    </row>
    <row r="234" spans="1:6" x14ac:dyDescent="0.25">
      <c r="A234" t="str">
        <f>"71188614"</f>
        <v>71188614</v>
      </c>
      <c r="B234" t="s">
        <v>291</v>
      </c>
      <c r="C234" t="s">
        <v>20</v>
      </c>
      <c r="D234" t="str">
        <f t="shared" si="14"/>
        <v>564117</v>
      </c>
      <c r="E234" t="s">
        <v>229</v>
      </c>
      <c r="F234" t="s">
        <v>21</v>
      </c>
    </row>
    <row r="235" spans="1:6" x14ac:dyDescent="0.25">
      <c r="A235" t="str">
        <f>"71188843"</f>
        <v>71188843</v>
      </c>
      <c r="B235" t="s">
        <v>292</v>
      </c>
      <c r="C235" t="s">
        <v>20</v>
      </c>
      <c r="D235" t="str">
        <f t="shared" si="14"/>
        <v>564117</v>
      </c>
      <c r="E235" t="s">
        <v>229</v>
      </c>
      <c r="F235" t="s">
        <v>21</v>
      </c>
    </row>
    <row r="236" spans="1:6" x14ac:dyDescent="0.25">
      <c r="A236" t="str">
        <f>"07353081"</f>
        <v>07353081</v>
      </c>
      <c r="B236" t="s">
        <v>293</v>
      </c>
      <c r="C236" t="s">
        <v>20</v>
      </c>
      <c r="D236" t="str">
        <f t="shared" si="14"/>
        <v>564117</v>
      </c>
      <c r="E236" t="s">
        <v>229</v>
      </c>
      <c r="F236" t="s">
        <v>21</v>
      </c>
    </row>
    <row r="237" spans="1:6" x14ac:dyDescent="0.25">
      <c r="A237" t="str">
        <f>"68212003"</f>
        <v>68212003</v>
      </c>
      <c r="B237" t="s">
        <v>294</v>
      </c>
      <c r="C237" t="s">
        <v>15</v>
      </c>
      <c r="D237" t="str">
        <f t="shared" ref="D237:D242" si="15">"577154"</f>
        <v>577154</v>
      </c>
      <c r="E237" t="s">
        <v>295</v>
      </c>
      <c r="F237" t="s">
        <v>65</v>
      </c>
    </row>
    <row r="238" spans="1:6" x14ac:dyDescent="0.25">
      <c r="A238" t="str">
        <f>"08695555"</f>
        <v>08695555</v>
      </c>
      <c r="B238" t="s">
        <v>296</v>
      </c>
      <c r="C238" t="s">
        <v>7</v>
      </c>
      <c r="D238" t="str">
        <f t="shared" si="15"/>
        <v>577154</v>
      </c>
      <c r="E238" t="s">
        <v>295</v>
      </c>
      <c r="F238" t="s">
        <v>62</v>
      </c>
    </row>
    <row r="239" spans="1:6" x14ac:dyDescent="0.25">
      <c r="A239" t="str">
        <f>"70892521"</f>
        <v>70892521</v>
      </c>
      <c r="B239" t="s">
        <v>297</v>
      </c>
      <c r="C239" t="s">
        <v>7</v>
      </c>
      <c r="D239" t="str">
        <f t="shared" si="15"/>
        <v>577154</v>
      </c>
      <c r="E239" t="s">
        <v>295</v>
      </c>
      <c r="F239" t="s">
        <v>35</v>
      </c>
    </row>
    <row r="240" spans="1:6" x14ac:dyDescent="0.25">
      <c r="A240" t="str">
        <f>"45598169"</f>
        <v>45598169</v>
      </c>
      <c r="B240" t="s">
        <v>298</v>
      </c>
      <c r="C240" t="s">
        <v>7</v>
      </c>
      <c r="D240" t="str">
        <f t="shared" si="15"/>
        <v>577154</v>
      </c>
      <c r="E240" t="s">
        <v>295</v>
      </c>
      <c r="F240" t="s">
        <v>38</v>
      </c>
    </row>
    <row r="241" spans="1:6" x14ac:dyDescent="0.25">
      <c r="A241" t="str">
        <f>"45599602"</f>
        <v>45599602</v>
      </c>
      <c r="B241" t="s">
        <v>299</v>
      </c>
      <c r="C241" t="s">
        <v>15</v>
      </c>
      <c r="D241" t="str">
        <f t="shared" si="15"/>
        <v>577154</v>
      </c>
      <c r="E241" t="s">
        <v>295</v>
      </c>
      <c r="F241" t="s">
        <v>16</v>
      </c>
    </row>
    <row r="242" spans="1:6" x14ac:dyDescent="0.25">
      <c r="A242" t="str">
        <f>"49296159"</f>
        <v>49296159</v>
      </c>
      <c r="B242" t="s">
        <v>300</v>
      </c>
      <c r="C242" t="s">
        <v>15</v>
      </c>
      <c r="D242" t="str">
        <f t="shared" si="15"/>
        <v>577154</v>
      </c>
      <c r="E242" t="s">
        <v>295</v>
      </c>
      <c r="F242" t="s">
        <v>9</v>
      </c>
    </row>
    <row r="243" spans="1:6" x14ac:dyDescent="0.25">
      <c r="A243" t="str">
        <f>"40232310"</f>
        <v>40232310</v>
      </c>
      <c r="B243" t="s">
        <v>301</v>
      </c>
      <c r="C243" t="s">
        <v>15</v>
      </c>
      <c r="D243" t="str">
        <f t="shared" ref="D243:D274" si="16">"561479"</f>
        <v>561479</v>
      </c>
      <c r="E243" t="s">
        <v>302</v>
      </c>
      <c r="F243" t="s">
        <v>11</v>
      </c>
    </row>
    <row r="244" spans="1:6" x14ac:dyDescent="0.25">
      <c r="A244" t="str">
        <f>"26664186"</f>
        <v>26664186</v>
      </c>
      <c r="B244" t="s">
        <v>303</v>
      </c>
      <c r="C244" t="s">
        <v>7</v>
      </c>
      <c r="D244" t="str">
        <f t="shared" si="16"/>
        <v>561479</v>
      </c>
      <c r="E244" t="s">
        <v>302</v>
      </c>
      <c r="F244" t="s">
        <v>11</v>
      </c>
    </row>
    <row r="245" spans="1:6" x14ac:dyDescent="0.25">
      <c r="A245" t="str">
        <f>"08238502"</f>
        <v>08238502</v>
      </c>
      <c r="B245" t="s">
        <v>304</v>
      </c>
      <c r="C245" t="s">
        <v>7</v>
      </c>
      <c r="D245" t="str">
        <f t="shared" si="16"/>
        <v>561479</v>
      </c>
      <c r="E245" t="s">
        <v>302</v>
      </c>
      <c r="F245" t="s">
        <v>11</v>
      </c>
    </row>
    <row r="246" spans="1:6" x14ac:dyDescent="0.25">
      <c r="A246" t="str">
        <f>"65650409"</f>
        <v>65650409</v>
      </c>
      <c r="B246" t="s">
        <v>305</v>
      </c>
      <c r="C246" t="s">
        <v>15</v>
      </c>
      <c r="D246" t="str">
        <f t="shared" si="16"/>
        <v>561479</v>
      </c>
      <c r="E246" t="s">
        <v>302</v>
      </c>
      <c r="F246" t="s">
        <v>29</v>
      </c>
    </row>
    <row r="247" spans="1:6" x14ac:dyDescent="0.25">
      <c r="A247" t="str">
        <f>"00482455"</f>
        <v>00482455</v>
      </c>
      <c r="B247" t="s">
        <v>306</v>
      </c>
      <c r="C247" t="s">
        <v>15</v>
      </c>
      <c r="D247" t="str">
        <f t="shared" si="16"/>
        <v>561479</v>
      </c>
      <c r="E247" t="s">
        <v>302</v>
      </c>
      <c r="F247" t="s">
        <v>11</v>
      </c>
    </row>
    <row r="248" spans="1:6" x14ac:dyDescent="0.25">
      <c r="A248" t="str">
        <f>"05699959"</f>
        <v>05699959</v>
      </c>
      <c r="B248" t="s">
        <v>307</v>
      </c>
      <c r="C248" t="s">
        <v>15</v>
      </c>
      <c r="D248" t="str">
        <f t="shared" si="16"/>
        <v>561479</v>
      </c>
      <c r="E248" t="s">
        <v>302</v>
      </c>
      <c r="F248" t="s">
        <v>29</v>
      </c>
    </row>
    <row r="249" spans="1:6" x14ac:dyDescent="0.25">
      <c r="A249" t="str">
        <f>"68954841"</f>
        <v>68954841</v>
      </c>
      <c r="B249" t="s">
        <v>308</v>
      </c>
      <c r="C249" t="s">
        <v>7</v>
      </c>
      <c r="D249" t="str">
        <f t="shared" si="16"/>
        <v>561479</v>
      </c>
      <c r="E249" t="s">
        <v>302</v>
      </c>
      <c r="F249" t="s">
        <v>11</v>
      </c>
    </row>
    <row r="250" spans="1:6" x14ac:dyDescent="0.25">
      <c r="A250" t="str">
        <f>"48282740"</f>
        <v>48282740</v>
      </c>
      <c r="B250" t="s">
        <v>309</v>
      </c>
      <c r="C250" t="s">
        <v>7</v>
      </c>
      <c r="D250" t="str">
        <f t="shared" si="16"/>
        <v>561479</v>
      </c>
      <c r="E250" t="s">
        <v>302</v>
      </c>
      <c r="F250" t="s">
        <v>11</v>
      </c>
    </row>
    <row r="251" spans="1:6" x14ac:dyDescent="0.25">
      <c r="A251" t="str">
        <f>"22862056"</f>
        <v>22862056</v>
      </c>
      <c r="B251" t="s">
        <v>310</v>
      </c>
      <c r="C251" t="s">
        <v>7</v>
      </c>
      <c r="D251" t="str">
        <f t="shared" si="16"/>
        <v>561479</v>
      </c>
      <c r="E251" t="s">
        <v>302</v>
      </c>
      <c r="F251" t="s">
        <v>62</v>
      </c>
    </row>
    <row r="252" spans="1:6" x14ac:dyDescent="0.25">
      <c r="A252" t="str">
        <f>"22745581"</f>
        <v>22745581</v>
      </c>
      <c r="B252" t="s">
        <v>311</v>
      </c>
      <c r="C252" t="s">
        <v>7</v>
      </c>
      <c r="D252" t="str">
        <f t="shared" si="16"/>
        <v>561479</v>
      </c>
      <c r="E252" t="s">
        <v>302</v>
      </c>
      <c r="F252" t="s">
        <v>62</v>
      </c>
    </row>
    <row r="253" spans="1:6" x14ac:dyDescent="0.25">
      <c r="A253" t="str">
        <f>"26651602"</f>
        <v>26651602</v>
      </c>
      <c r="B253" t="s">
        <v>312</v>
      </c>
      <c r="C253" t="s">
        <v>7</v>
      </c>
      <c r="D253" t="str">
        <f t="shared" si="16"/>
        <v>561479</v>
      </c>
      <c r="E253" t="s">
        <v>302</v>
      </c>
      <c r="F253" t="s">
        <v>9</v>
      </c>
    </row>
    <row r="254" spans="1:6" x14ac:dyDescent="0.25">
      <c r="A254" t="str">
        <f>"27053849"</f>
        <v>27053849</v>
      </c>
      <c r="B254" t="s">
        <v>313</v>
      </c>
      <c r="C254" t="s">
        <v>7</v>
      </c>
      <c r="D254" t="str">
        <f t="shared" si="16"/>
        <v>561479</v>
      </c>
      <c r="E254" t="s">
        <v>302</v>
      </c>
      <c r="F254" t="s">
        <v>9</v>
      </c>
    </row>
    <row r="255" spans="1:6" x14ac:dyDescent="0.25">
      <c r="A255" t="str">
        <f>"19651279"</f>
        <v>19651279</v>
      </c>
      <c r="B255" t="s">
        <v>314</v>
      </c>
      <c r="C255" t="s">
        <v>37</v>
      </c>
      <c r="D255" t="str">
        <f t="shared" si="16"/>
        <v>561479</v>
      </c>
      <c r="E255" t="s">
        <v>302</v>
      </c>
      <c r="F255" t="s">
        <v>38</v>
      </c>
    </row>
    <row r="256" spans="1:6" x14ac:dyDescent="0.25">
      <c r="A256" t="str">
        <f>"02443911"</f>
        <v>02443911</v>
      </c>
      <c r="B256" t="s">
        <v>315</v>
      </c>
      <c r="C256" t="s">
        <v>7</v>
      </c>
      <c r="D256" t="str">
        <f t="shared" si="16"/>
        <v>561479</v>
      </c>
      <c r="E256" t="s">
        <v>302</v>
      </c>
      <c r="F256" t="s">
        <v>137</v>
      </c>
    </row>
    <row r="257" spans="1:6" x14ac:dyDescent="0.25">
      <c r="A257" t="str">
        <f>"27005801"</f>
        <v>27005801</v>
      </c>
      <c r="B257" t="s">
        <v>316</v>
      </c>
      <c r="C257" t="s">
        <v>7</v>
      </c>
      <c r="D257" t="str">
        <f t="shared" si="16"/>
        <v>561479</v>
      </c>
      <c r="E257" t="s">
        <v>302</v>
      </c>
      <c r="F257" t="s">
        <v>11</v>
      </c>
    </row>
    <row r="258" spans="1:6" x14ac:dyDescent="0.25">
      <c r="A258" t="str">
        <f>"08659133"</f>
        <v>08659133</v>
      </c>
      <c r="B258" t="s">
        <v>317</v>
      </c>
      <c r="C258" t="s">
        <v>7</v>
      </c>
      <c r="D258" t="str">
        <f t="shared" si="16"/>
        <v>561479</v>
      </c>
      <c r="E258" t="s">
        <v>302</v>
      </c>
      <c r="F258" t="s">
        <v>29</v>
      </c>
    </row>
    <row r="259" spans="1:6" x14ac:dyDescent="0.25">
      <c r="A259" t="str">
        <f>"26567873"</f>
        <v>26567873</v>
      </c>
      <c r="B259" t="s">
        <v>318</v>
      </c>
      <c r="C259" t="s">
        <v>7</v>
      </c>
      <c r="D259" t="str">
        <f t="shared" si="16"/>
        <v>561479</v>
      </c>
      <c r="E259" t="s">
        <v>302</v>
      </c>
      <c r="F259" t="s">
        <v>29</v>
      </c>
    </row>
    <row r="260" spans="1:6" x14ac:dyDescent="0.25">
      <c r="A260" t="str">
        <f>"27002781"</f>
        <v>27002781</v>
      </c>
      <c r="B260" t="s">
        <v>319</v>
      </c>
      <c r="C260" t="s">
        <v>7</v>
      </c>
      <c r="D260" t="str">
        <f t="shared" si="16"/>
        <v>561479</v>
      </c>
      <c r="E260" t="s">
        <v>302</v>
      </c>
      <c r="F260" t="s">
        <v>11</v>
      </c>
    </row>
    <row r="261" spans="1:6" x14ac:dyDescent="0.25">
      <c r="A261" t="str">
        <f>"27049035"</f>
        <v>27049035</v>
      </c>
      <c r="B261" t="s">
        <v>320</v>
      </c>
      <c r="C261" t="s">
        <v>7</v>
      </c>
      <c r="D261" t="str">
        <f t="shared" si="16"/>
        <v>561479</v>
      </c>
      <c r="E261" t="s">
        <v>302</v>
      </c>
      <c r="F261" t="s">
        <v>11</v>
      </c>
    </row>
    <row r="262" spans="1:6" x14ac:dyDescent="0.25">
      <c r="A262" t="str">
        <f>"69763313"</f>
        <v>69763313</v>
      </c>
      <c r="B262" t="s">
        <v>321</v>
      </c>
      <c r="C262" t="s">
        <v>20</v>
      </c>
      <c r="D262" t="str">
        <f t="shared" si="16"/>
        <v>561479</v>
      </c>
      <c r="E262" t="s">
        <v>302</v>
      </c>
      <c r="F262" t="s">
        <v>21</v>
      </c>
    </row>
    <row r="263" spans="1:6" x14ac:dyDescent="0.25">
      <c r="A263" t="str">
        <f>"48282669"</f>
        <v>48282669</v>
      </c>
      <c r="B263" t="s">
        <v>322</v>
      </c>
      <c r="C263" t="s">
        <v>7</v>
      </c>
      <c r="D263" t="str">
        <f t="shared" si="16"/>
        <v>561479</v>
      </c>
      <c r="E263" t="s">
        <v>302</v>
      </c>
      <c r="F263" t="s">
        <v>38</v>
      </c>
    </row>
    <row r="264" spans="1:6" x14ac:dyDescent="0.25">
      <c r="A264" t="str">
        <f>"18002285"</f>
        <v>18002285</v>
      </c>
      <c r="B264" t="s">
        <v>323</v>
      </c>
      <c r="C264" t="s">
        <v>7</v>
      </c>
      <c r="D264" t="str">
        <f t="shared" si="16"/>
        <v>561479</v>
      </c>
      <c r="E264" t="s">
        <v>302</v>
      </c>
      <c r="F264" t="s">
        <v>38</v>
      </c>
    </row>
    <row r="265" spans="1:6" x14ac:dyDescent="0.25">
      <c r="A265" t="str">
        <f>"28707958"</f>
        <v>28707958</v>
      </c>
      <c r="B265" t="s">
        <v>324</v>
      </c>
      <c r="C265" t="s">
        <v>325</v>
      </c>
      <c r="D265" t="str">
        <f t="shared" si="16"/>
        <v>561479</v>
      </c>
      <c r="E265" t="s">
        <v>302</v>
      </c>
      <c r="F265" t="s">
        <v>326</v>
      </c>
    </row>
    <row r="266" spans="1:6" x14ac:dyDescent="0.25">
      <c r="A266" t="str">
        <f>"26989077"</f>
        <v>26989077</v>
      </c>
      <c r="B266" t="s">
        <v>327</v>
      </c>
      <c r="C266" t="s">
        <v>7</v>
      </c>
      <c r="D266" t="str">
        <f t="shared" si="16"/>
        <v>561479</v>
      </c>
      <c r="E266" t="s">
        <v>302</v>
      </c>
      <c r="F266" t="s">
        <v>328</v>
      </c>
    </row>
    <row r="267" spans="1:6" x14ac:dyDescent="0.25">
      <c r="A267" t="str">
        <f>"03795985"</f>
        <v>03795985</v>
      </c>
      <c r="B267" t="s">
        <v>329</v>
      </c>
      <c r="C267" t="s">
        <v>7</v>
      </c>
      <c r="D267" t="str">
        <f t="shared" si="16"/>
        <v>561479</v>
      </c>
      <c r="E267" t="s">
        <v>302</v>
      </c>
      <c r="F267" t="s">
        <v>13</v>
      </c>
    </row>
    <row r="268" spans="1:6" x14ac:dyDescent="0.25">
      <c r="A268" t="str">
        <f>"22142398"</f>
        <v>22142398</v>
      </c>
      <c r="B268" t="s">
        <v>330</v>
      </c>
      <c r="C268" t="s">
        <v>7</v>
      </c>
      <c r="D268" t="str">
        <f t="shared" si="16"/>
        <v>561479</v>
      </c>
      <c r="E268" t="s">
        <v>302</v>
      </c>
      <c r="F268" t="s">
        <v>11</v>
      </c>
    </row>
    <row r="269" spans="1:6" x14ac:dyDescent="0.25">
      <c r="A269" t="str">
        <f>"48282367"</f>
        <v>48282367</v>
      </c>
      <c r="B269" t="s">
        <v>331</v>
      </c>
      <c r="C269" t="s">
        <v>43</v>
      </c>
      <c r="D269" t="str">
        <f t="shared" si="16"/>
        <v>561479</v>
      </c>
      <c r="E269" t="s">
        <v>302</v>
      </c>
      <c r="F269" t="s">
        <v>44</v>
      </c>
    </row>
    <row r="270" spans="1:6" x14ac:dyDescent="0.25">
      <c r="A270" t="str">
        <f>"62237926"</f>
        <v>62237926</v>
      </c>
      <c r="B270" t="s">
        <v>332</v>
      </c>
      <c r="C270" t="s">
        <v>43</v>
      </c>
      <c r="D270" t="str">
        <f t="shared" si="16"/>
        <v>561479</v>
      </c>
      <c r="E270" t="s">
        <v>302</v>
      </c>
      <c r="F270" t="s">
        <v>44</v>
      </c>
    </row>
    <row r="271" spans="1:6" x14ac:dyDescent="0.25">
      <c r="A271" t="str">
        <f>"62237900"</f>
        <v>62237900</v>
      </c>
      <c r="B271" t="s">
        <v>333</v>
      </c>
      <c r="C271" t="s">
        <v>43</v>
      </c>
      <c r="D271" t="str">
        <f t="shared" si="16"/>
        <v>561479</v>
      </c>
      <c r="E271" t="s">
        <v>302</v>
      </c>
      <c r="F271" t="s">
        <v>44</v>
      </c>
    </row>
    <row r="272" spans="1:6" x14ac:dyDescent="0.25">
      <c r="A272" t="str">
        <f>"62237934"</f>
        <v>62237934</v>
      </c>
      <c r="B272" t="s">
        <v>334</v>
      </c>
      <c r="C272" t="s">
        <v>43</v>
      </c>
      <c r="D272" t="str">
        <f t="shared" si="16"/>
        <v>561479</v>
      </c>
      <c r="E272" t="s">
        <v>302</v>
      </c>
      <c r="F272" t="s">
        <v>44</v>
      </c>
    </row>
    <row r="273" spans="1:6" x14ac:dyDescent="0.25">
      <c r="A273" t="str">
        <f>"70852634"</f>
        <v>70852634</v>
      </c>
      <c r="B273" t="s">
        <v>335</v>
      </c>
      <c r="C273" t="s">
        <v>43</v>
      </c>
      <c r="D273" t="str">
        <f t="shared" si="16"/>
        <v>561479</v>
      </c>
      <c r="E273" t="s">
        <v>302</v>
      </c>
      <c r="F273" t="s">
        <v>44</v>
      </c>
    </row>
    <row r="274" spans="1:6" x14ac:dyDescent="0.25">
      <c r="A274" t="str">
        <f>"06540651"</f>
        <v>06540651</v>
      </c>
      <c r="B274" t="s">
        <v>336</v>
      </c>
      <c r="C274" t="s">
        <v>7</v>
      </c>
      <c r="D274" t="str">
        <f t="shared" si="16"/>
        <v>561479</v>
      </c>
      <c r="E274" t="s">
        <v>302</v>
      </c>
      <c r="F274" t="s">
        <v>29</v>
      </c>
    </row>
    <row r="275" spans="1:6" x14ac:dyDescent="0.25">
      <c r="A275" t="str">
        <f>"63778742"</f>
        <v>63778742</v>
      </c>
      <c r="B275" t="s">
        <v>337</v>
      </c>
      <c r="C275" t="s">
        <v>15</v>
      </c>
      <c r="D275" t="str">
        <f t="shared" ref="D275:D297" si="17">"561479"</f>
        <v>561479</v>
      </c>
      <c r="E275" t="s">
        <v>302</v>
      </c>
      <c r="F275" t="s">
        <v>16</v>
      </c>
    </row>
    <row r="276" spans="1:6" x14ac:dyDescent="0.25">
      <c r="A276" t="str">
        <f>"22732331"</f>
        <v>22732331</v>
      </c>
      <c r="B276" t="s">
        <v>338</v>
      </c>
      <c r="C276" t="s">
        <v>7</v>
      </c>
      <c r="D276" t="str">
        <f t="shared" si="17"/>
        <v>561479</v>
      </c>
      <c r="E276" t="s">
        <v>302</v>
      </c>
      <c r="F276" t="s">
        <v>11</v>
      </c>
    </row>
    <row r="277" spans="1:6" x14ac:dyDescent="0.25">
      <c r="A277" t="str">
        <f>"26613719"</f>
        <v>26613719</v>
      </c>
      <c r="B277" t="s">
        <v>339</v>
      </c>
      <c r="C277" t="s">
        <v>7</v>
      </c>
      <c r="D277" t="str">
        <f t="shared" si="17"/>
        <v>561479</v>
      </c>
      <c r="E277" t="s">
        <v>302</v>
      </c>
      <c r="F277" t="s">
        <v>9</v>
      </c>
    </row>
    <row r="278" spans="1:6" x14ac:dyDescent="0.25">
      <c r="A278" t="str">
        <f>"69898529"</f>
        <v>69898529</v>
      </c>
      <c r="B278" t="s">
        <v>340</v>
      </c>
      <c r="C278" t="s">
        <v>7</v>
      </c>
      <c r="D278" t="str">
        <f t="shared" si="17"/>
        <v>561479</v>
      </c>
      <c r="E278" t="s">
        <v>302</v>
      </c>
      <c r="F278" t="s">
        <v>65</v>
      </c>
    </row>
    <row r="279" spans="1:6" x14ac:dyDescent="0.25">
      <c r="A279" t="str">
        <f>"68954816"</f>
        <v>68954816</v>
      </c>
      <c r="B279" t="s">
        <v>341</v>
      </c>
      <c r="C279" t="s">
        <v>7</v>
      </c>
      <c r="D279" t="str">
        <f t="shared" si="17"/>
        <v>561479</v>
      </c>
      <c r="E279" t="s">
        <v>302</v>
      </c>
      <c r="F279" t="s">
        <v>11</v>
      </c>
    </row>
    <row r="280" spans="1:6" x14ac:dyDescent="0.25">
      <c r="A280" t="str">
        <f>"26992868"</f>
        <v>26992868</v>
      </c>
      <c r="B280" t="s">
        <v>342</v>
      </c>
      <c r="C280" t="s">
        <v>7</v>
      </c>
      <c r="D280" t="str">
        <f t="shared" si="17"/>
        <v>561479</v>
      </c>
      <c r="E280" t="s">
        <v>302</v>
      </c>
      <c r="F280" t="s">
        <v>11</v>
      </c>
    </row>
    <row r="281" spans="1:6" x14ac:dyDescent="0.25">
      <c r="A281" t="str">
        <f>"02234939"</f>
        <v>02234939</v>
      </c>
      <c r="B281" t="s">
        <v>343</v>
      </c>
      <c r="C281" t="s">
        <v>7</v>
      </c>
      <c r="D281" t="str">
        <f t="shared" si="17"/>
        <v>561479</v>
      </c>
      <c r="E281" t="s">
        <v>302</v>
      </c>
      <c r="F281" t="s">
        <v>11</v>
      </c>
    </row>
    <row r="282" spans="1:6" x14ac:dyDescent="0.25">
      <c r="A282" t="str">
        <f>"07209916"</f>
        <v>07209916</v>
      </c>
      <c r="B282" t="s">
        <v>344</v>
      </c>
      <c r="C282" t="s">
        <v>7</v>
      </c>
      <c r="D282" t="str">
        <f t="shared" si="17"/>
        <v>561479</v>
      </c>
      <c r="E282" t="s">
        <v>302</v>
      </c>
      <c r="F282" t="s">
        <v>18</v>
      </c>
    </row>
    <row r="283" spans="1:6" x14ac:dyDescent="0.25">
      <c r="A283" t="str">
        <f>"02438143"</f>
        <v>02438143</v>
      </c>
      <c r="B283" t="s">
        <v>345</v>
      </c>
      <c r="C283" t="s">
        <v>7</v>
      </c>
      <c r="D283" t="str">
        <f t="shared" si="17"/>
        <v>561479</v>
      </c>
      <c r="E283" t="s">
        <v>302</v>
      </c>
      <c r="F283" t="s">
        <v>18</v>
      </c>
    </row>
    <row r="284" spans="1:6" x14ac:dyDescent="0.25">
      <c r="A284" t="str">
        <f>"07203543"</f>
        <v>07203543</v>
      </c>
      <c r="B284" t="s">
        <v>346</v>
      </c>
      <c r="C284" t="s">
        <v>7</v>
      </c>
      <c r="D284" t="str">
        <f t="shared" si="17"/>
        <v>561479</v>
      </c>
      <c r="E284" t="s">
        <v>302</v>
      </c>
      <c r="F284" t="s">
        <v>11</v>
      </c>
    </row>
    <row r="285" spans="1:6" x14ac:dyDescent="0.25">
      <c r="A285" t="str">
        <f>"21410976"</f>
        <v>21410976</v>
      </c>
      <c r="B285" t="s">
        <v>347</v>
      </c>
      <c r="C285" t="s">
        <v>7</v>
      </c>
      <c r="D285" t="str">
        <f t="shared" si="17"/>
        <v>561479</v>
      </c>
      <c r="E285" t="s">
        <v>302</v>
      </c>
      <c r="F285" t="s">
        <v>11</v>
      </c>
    </row>
    <row r="286" spans="1:6" x14ac:dyDescent="0.25">
      <c r="A286" t="str">
        <f>"70201099"</f>
        <v>70201099</v>
      </c>
      <c r="B286" t="s">
        <v>348</v>
      </c>
      <c r="C286" t="s">
        <v>7</v>
      </c>
      <c r="D286" t="str">
        <f t="shared" si="17"/>
        <v>561479</v>
      </c>
      <c r="E286" t="s">
        <v>302</v>
      </c>
      <c r="F286" t="s">
        <v>11</v>
      </c>
    </row>
    <row r="287" spans="1:6" x14ac:dyDescent="0.25">
      <c r="A287" t="str">
        <f>"21519471"</f>
        <v>21519471</v>
      </c>
      <c r="B287" t="s">
        <v>349</v>
      </c>
      <c r="C287" t="s">
        <v>7</v>
      </c>
      <c r="D287" t="str">
        <f t="shared" si="17"/>
        <v>561479</v>
      </c>
      <c r="E287" t="s">
        <v>302</v>
      </c>
      <c r="F287" t="s">
        <v>139</v>
      </c>
    </row>
    <row r="288" spans="1:6" x14ac:dyDescent="0.25">
      <c r="A288" t="str">
        <f>"49864556"</f>
        <v>49864556</v>
      </c>
      <c r="B288" t="s">
        <v>350</v>
      </c>
      <c r="C288" t="s">
        <v>7</v>
      </c>
      <c r="D288" t="str">
        <f t="shared" si="17"/>
        <v>561479</v>
      </c>
      <c r="E288" t="s">
        <v>302</v>
      </c>
      <c r="F288" t="s">
        <v>9</v>
      </c>
    </row>
    <row r="289" spans="1:6" x14ac:dyDescent="0.25">
      <c r="A289" t="str">
        <f>"62237080"</f>
        <v>62237080</v>
      </c>
      <c r="B289" t="s">
        <v>351</v>
      </c>
      <c r="C289" t="s">
        <v>7</v>
      </c>
      <c r="D289" t="str">
        <f t="shared" si="17"/>
        <v>561479</v>
      </c>
      <c r="E289" t="s">
        <v>302</v>
      </c>
      <c r="F289" t="s">
        <v>65</v>
      </c>
    </row>
    <row r="290" spans="1:6" x14ac:dyDescent="0.25">
      <c r="A290" t="str">
        <f>"26651891"</f>
        <v>26651891</v>
      </c>
      <c r="B290" t="s">
        <v>352</v>
      </c>
      <c r="C290" t="s">
        <v>7</v>
      </c>
      <c r="D290" t="str">
        <f t="shared" si="17"/>
        <v>561479</v>
      </c>
      <c r="E290" t="s">
        <v>302</v>
      </c>
      <c r="F290" t="s">
        <v>11</v>
      </c>
    </row>
    <row r="291" spans="1:6" x14ac:dyDescent="0.25">
      <c r="A291" t="str">
        <f>"26516021"</f>
        <v>26516021</v>
      </c>
      <c r="B291" t="s">
        <v>353</v>
      </c>
      <c r="C291" t="s">
        <v>7</v>
      </c>
      <c r="D291" t="str">
        <f t="shared" si="17"/>
        <v>561479</v>
      </c>
      <c r="E291" t="s">
        <v>302</v>
      </c>
      <c r="F291" t="s">
        <v>11</v>
      </c>
    </row>
    <row r="292" spans="1:6" x14ac:dyDescent="0.25">
      <c r="A292" t="str">
        <f>"08025932"</f>
        <v>08025932</v>
      </c>
      <c r="B292" t="s">
        <v>354</v>
      </c>
      <c r="C292" t="s">
        <v>7</v>
      </c>
      <c r="D292" t="str">
        <f t="shared" si="17"/>
        <v>561479</v>
      </c>
      <c r="E292" t="s">
        <v>302</v>
      </c>
      <c r="F292" t="s">
        <v>62</v>
      </c>
    </row>
    <row r="293" spans="1:6" x14ac:dyDescent="0.25">
      <c r="A293" t="str">
        <f>"06224989"</f>
        <v>06224989</v>
      </c>
      <c r="B293" t="s">
        <v>355</v>
      </c>
      <c r="C293" t="s">
        <v>7</v>
      </c>
      <c r="D293" t="str">
        <f t="shared" si="17"/>
        <v>561479</v>
      </c>
      <c r="E293" t="s">
        <v>302</v>
      </c>
      <c r="F293" t="s">
        <v>11</v>
      </c>
    </row>
    <row r="294" spans="1:6" x14ac:dyDescent="0.25">
      <c r="A294" t="str">
        <f>"69897701"</f>
        <v>69897701</v>
      </c>
      <c r="B294" t="s">
        <v>356</v>
      </c>
      <c r="C294" t="s">
        <v>20</v>
      </c>
      <c r="D294" t="str">
        <f t="shared" si="17"/>
        <v>561479</v>
      </c>
      <c r="E294" t="s">
        <v>302</v>
      </c>
      <c r="F294" t="s">
        <v>21</v>
      </c>
    </row>
    <row r="295" spans="1:6" x14ac:dyDescent="0.25">
      <c r="A295" t="str">
        <f>"22691383"</f>
        <v>22691383</v>
      </c>
      <c r="B295" t="s">
        <v>357</v>
      </c>
      <c r="C295" t="s">
        <v>20</v>
      </c>
      <c r="D295" t="str">
        <f t="shared" si="17"/>
        <v>561479</v>
      </c>
      <c r="E295" t="s">
        <v>302</v>
      </c>
      <c r="F295" t="s">
        <v>21</v>
      </c>
    </row>
    <row r="296" spans="1:6" x14ac:dyDescent="0.25">
      <c r="A296" t="str">
        <f>"72563427"</f>
        <v>72563427</v>
      </c>
      <c r="B296" t="s">
        <v>358</v>
      </c>
      <c r="C296" t="s">
        <v>15</v>
      </c>
      <c r="D296" t="str">
        <f t="shared" si="17"/>
        <v>561479</v>
      </c>
      <c r="E296" t="s">
        <v>302</v>
      </c>
      <c r="F296" t="s">
        <v>11</v>
      </c>
    </row>
    <row r="297" spans="1:6" x14ac:dyDescent="0.25">
      <c r="A297" t="str">
        <f>"05206308"</f>
        <v>05206308</v>
      </c>
      <c r="B297" t="s">
        <v>359</v>
      </c>
      <c r="C297" t="s">
        <v>20</v>
      </c>
      <c r="D297" t="str">
        <f t="shared" si="17"/>
        <v>561479</v>
      </c>
      <c r="E297" t="s">
        <v>302</v>
      </c>
      <c r="F297" t="s">
        <v>21</v>
      </c>
    </row>
    <row r="298" spans="1:6" x14ac:dyDescent="0.25">
      <c r="A298" t="str">
        <f>"60254891"</f>
        <v>60254891</v>
      </c>
      <c r="B298" t="s">
        <v>360</v>
      </c>
      <c r="C298" t="s">
        <v>15</v>
      </c>
      <c r="D298" t="str">
        <f>"530425"</f>
        <v>530425</v>
      </c>
      <c r="E298" t="s">
        <v>361</v>
      </c>
      <c r="F298" t="s">
        <v>16</v>
      </c>
    </row>
    <row r="299" spans="1:6" x14ac:dyDescent="0.25">
      <c r="A299" t="str">
        <f>"70811598"</f>
        <v>70811598</v>
      </c>
      <c r="B299" t="s">
        <v>362</v>
      </c>
      <c r="C299" t="s">
        <v>7</v>
      </c>
      <c r="D299" t="str">
        <f t="shared" ref="D299:D338" si="18">"563552"</f>
        <v>563552</v>
      </c>
      <c r="E299" t="s">
        <v>363</v>
      </c>
      <c r="F299" t="s">
        <v>65</v>
      </c>
    </row>
    <row r="300" spans="1:6" x14ac:dyDescent="0.25">
      <c r="A300" t="str">
        <f>"70809895"</f>
        <v>70809895</v>
      </c>
      <c r="B300" t="s">
        <v>364</v>
      </c>
      <c r="C300" t="s">
        <v>7</v>
      </c>
      <c r="D300" t="str">
        <f t="shared" si="18"/>
        <v>563552</v>
      </c>
      <c r="E300" t="s">
        <v>363</v>
      </c>
      <c r="F300" t="s">
        <v>11</v>
      </c>
    </row>
    <row r="301" spans="1:6" x14ac:dyDescent="0.25">
      <c r="A301" t="str">
        <f>"21628602"</f>
        <v>21628602</v>
      </c>
      <c r="B301" t="s">
        <v>365</v>
      </c>
      <c r="C301" t="s">
        <v>7</v>
      </c>
      <c r="D301" t="str">
        <f t="shared" si="18"/>
        <v>563552</v>
      </c>
      <c r="E301" t="s">
        <v>363</v>
      </c>
      <c r="F301" t="s">
        <v>62</v>
      </c>
    </row>
    <row r="302" spans="1:6" x14ac:dyDescent="0.25">
      <c r="A302" t="str">
        <f>"27008631"</f>
        <v>27008631</v>
      </c>
      <c r="B302" t="s">
        <v>366</v>
      </c>
      <c r="C302" t="s">
        <v>7</v>
      </c>
      <c r="D302" t="str">
        <f t="shared" si="18"/>
        <v>563552</v>
      </c>
      <c r="E302" t="s">
        <v>363</v>
      </c>
      <c r="F302" t="s">
        <v>11</v>
      </c>
    </row>
    <row r="303" spans="1:6" x14ac:dyDescent="0.25">
      <c r="A303" t="str">
        <f>"75117649"</f>
        <v>75117649</v>
      </c>
      <c r="B303" t="s">
        <v>367</v>
      </c>
      <c r="C303" t="s">
        <v>15</v>
      </c>
      <c r="D303" t="str">
        <f t="shared" si="18"/>
        <v>563552</v>
      </c>
      <c r="E303" t="s">
        <v>363</v>
      </c>
      <c r="F303" t="s">
        <v>29</v>
      </c>
    </row>
    <row r="304" spans="1:6" x14ac:dyDescent="0.25">
      <c r="A304" t="str">
        <f>"01374150"</f>
        <v>01374150</v>
      </c>
      <c r="B304" t="s">
        <v>368</v>
      </c>
      <c r="C304" t="s">
        <v>7</v>
      </c>
      <c r="D304" t="str">
        <f t="shared" si="18"/>
        <v>563552</v>
      </c>
      <c r="E304" t="s">
        <v>363</v>
      </c>
      <c r="F304" t="s">
        <v>328</v>
      </c>
    </row>
    <row r="305" spans="1:6" x14ac:dyDescent="0.25">
      <c r="A305" t="str">
        <f>"68983999"</f>
        <v>68983999</v>
      </c>
      <c r="B305" t="s">
        <v>369</v>
      </c>
      <c r="C305" t="s">
        <v>15</v>
      </c>
      <c r="D305" t="str">
        <f t="shared" si="18"/>
        <v>563552</v>
      </c>
      <c r="E305" t="s">
        <v>363</v>
      </c>
      <c r="F305" t="s">
        <v>29</v>
      </c>
    </row>
    <row r="306" spans="1:6" x14ac:dyDescent="0.25">
      <c r="A306" t="str">
        <f>"04517792"</f>
        <v>04517792</v>
      </c>
      <c r="B306" t="s">
        <v>370</v>
      </c>
      <c r="C306" t="s">
        <v>7</v>
      </c>
      <c r="D306" t="str">
        <f t="shared" si="18"/>
        <v>563552</v>
      </c>
      <c r="E306" t="s">
        <v>363</v>
      </c>
      <c r="F306" t="s">
        <v>62</v>
      </c>
    </row>
    <row r="307" spans="1:6" x14ac:dyDescent="0.25">
      <c r="A307" t="str">
        <f>"06709401"</f>
        <v>06709401</v>
      </c>
      <c r="B307" t="s">
        <v>371</v>
      </c>
      <c r="C307" t="s">
        <v>7</v>
      </c>
      <c r="D307" t="str">
        <f t="shared" si="18"/>
        <v>563552</v>
      </c>
      <c r="E307" t="s">
        <v>363</v>
      </c>
      <c r="F307" t="s">
        <v>11</v>
      </c>
    </row>
    <row r="308" spans="1:6" x14ac:dyDescent="0.25">
      <c r="A308" t="str">
        <f>"66110530"</f>
        <v>66110530</v>
      </c>
      <c r="B308" t="s">
        <v>372</v>
      </c>
      <c r="C308" t="s">
        <v>7</v>
      </c>
      <c r="D308" t="str">
        <f t="shared" si="18"/>
        <v>563552</v>
      </c>
      <c r="E308" t="s">
        <v>363</v>
      </c>
      <c r="F308" t="s">
        <v>11</v>
      </c>
    </row>
    <row r="309" spans="1:6" x14ac:dyDescent="0.25">
      <c r="A309" t="str">
        <f>"27007979"</f>
        <v>27007979</v>
      </c>
      <c r="B309" t="s">
        <v>373</v>
      </c>
      <c r="C309" t="s">
        <v>7</v>
      </c>
      <c r="D309" t="str">
        <f t="shared" si="18"/>
        <v>563552</v>
      </c>
      <c r="E309" t="s">
        <v>363</v>
      </c>
      <c r="F309" t="s">
        <v>62</v>
      </c>
    </row>
    <row r="310" spans="1:6" x14ac:dyDescent="0.25">
      <c r="A310" t="str">
        <f>"26564068"</f>
        <v>26564068</v>
      </c>
      <c r="B310" t="s">
        <v>374</v>
      </c>
      <c r="C310" t="s">
        <v>7</v>
      </c>
      <c r="D310" t="str">
        <f t="shared" si="18"/>
        <v>563552</v>
      </c>
      <c r="E310" t="s">
        <v>363</v>
      </c>
      <c r="F310" t="s">
        <v>29</v>
      </c>
    </row>
    <row r="311" spans="1:6" x14ac:dyDescent="0.25">
      <c r="A311" t="str">
        <f>"72060468"</f>
        <v>72060468</v>
      </c>
      <c r="B311" t="s">
        <v>375</v>
      </c>
      <c r="C311" t="s">
        <v>15</v>
      </c>
      <c r="D311" t="str">
        <f t="shared" si="18"/>
        <v>563552</v>
      </c>
      <c r="E311" t="s">
        <v>363</v>
      </c>
      <c r="F311" t="s">
        <v>11</v>
      </c>
    </row>
    <row r="312" spans="1:6" x14ac:dyDescent="0.25">
      <c r="A312" t="str">
        <f>"22721231"</f>
        <v>22721231</v>
      </c>
      <c r="B312" t="s">
        <v>376</v>
      </c>
      <c r="C312" t="s">
        <v>7</v>
      </c>
      <c r="D312" t="str">
        <f t="shared" si="18"/>
        <v>563552</v>
      </c>
      <c r="E312" t="s">
        <v>363</v>
      </c>
      <c r="F312" t="s">
        <v>11</v>
      </c>
    </row>
    <row r="313" spans="1:6" x14ac:dyDescent="0.25">
      <c r="A313" t="str">
        <f>"60253193"</f>
        <v>60253193</v>
      </c>
      <c r="B313" t="s">
        <v>377</v>
      </c>
      <c r="C313" t="s">
        <v>7</v>
      </c>
      <c r="D313" t="str">
        <f t="shared" si="18"/>
        <v>563552</v>
      </c>
      <c r="E313" t="s">
        <v>363</v>
      </c>
      <c r="F313" t="s">
        <v>38</v>
      </c>
    </row>
    <row r="314" spans="1:6" x14ac:dyDescent="0.25">
      <c r="A314" t="str">
        <f>"26548003"</f>
        <v>26548003</v>
      </c>
      <c r="B314" t="s">
        <v>378</v>
      </c>
      <c r="C314" t="s">
        <v>7</v>
      </c>
      <c r="D314" t="str">
        <f t="shared" si="18"/>
        <v>563552</v>
      </c>
      <c r="E314" t="s">
        <v>363</v>
      </c>
      <c r="F314" t="s">
        <v>379</v>
      </c>
    </row>
    <row r="315" spans="1:6" x14ac:dyDescent="0.25">
      <c r="A315" t="str">
        <f>"68954379"</f>
        <v>68954379</v>
      </c>
      <c r="B315" t="s">
        <v>380</v>
      </c>
      <c r="C315" t="s">
        <v>7</v>
      </c>
      <c r="D315" t="str">
        <f t="shared" si="18"/>
        <v>563552</v>
      </c>
      <c r="E315" t="s">
        <v>363</v>
      </c>
      <c r="F315" t="s">
        <v>381</v>
      </c>
    </row>
    <row r="316" spans="1:6" x14ac:dyDescent="0.25">
      <c r="A316" t="str">
        <f>"60253746"</f>
        <v>60253746</v>
      </c>
      <c r="B316" t="s">
        <v>382</v>
      </c>
      <c r="C316" t="s">
        <v>20</v>
      </c>
      <c r="D316" t="str">
        <f t="shared" si="18"/>
        <v>563552</v>
      </c>
      <c r="E316" t="s">
        <v>363</v>
      </c>
      <c r="F316" t="s">
        <v>21</v>
      </c>
    </row>
    <row r="317" spans="1:6" x14ac:dyDescent="0.25">
      <c r="A317" t="str">
        <f>"43257607"</f>
        <v>43257607</v>
      </c>
      <c r="B317" t="s">
        <v>383</v>
      </c>
      <c r="C317" t="s">
        <v>20</v>
      </c>
      <c r="D317" t="str">
        <f t="shared" si="18"/>
        <v>563552</v>
      </c>
      <c r="E317" t="s">
        <v>363</v>
      </c>
      <c r="F317" t="s">
        <v>21</v>
      </c>
    </row>
    <row r="318" spans="1:6" x14ac:dyDescent="0.25">
      <c r="A318" t="str">
        <f>"25474286"</f>
        <v>25474286</v>
      </c>
      <c r="B318" t="s">
        <v>384</v>
      </c>
      <c r="C318" t="s">
        <v>78</v>
      </c>
      <c r="D318" t="str">
        <f t="shared" si="18"/>
        <v>563552</v>
      </c>
      <c r="E318" t="s">
        <v>363</v>
      </c>
      <c r="F318" t="s">
        <v>40</v>
      </c>
    </row>
    <row r="319" spans="1:6" x14ac:dyDescent="0.25">
      <c r="A319" t="str">
        <f>"26596709"</f>
        <v>26596709</v>
      </c>
      <c r="B319" t="s">
        <v>385</v>
      </c>
      <c r="C319" t="s">
        <v>7</v>
      </c>
      <c r="D319" t="str">
        <f t="shared" si="18"/>
        <v>563552</v>
      </c>
      <c r="E319" t="s">
        <v>363</v>
      </c>
      <c r="F319" t="s">
        <v>328</v>
      </c>
    </row>
    <row r="320" spans="1:6" x14ac:dyDescent="0.25">
      <c r="A320" t="str">
        <f>"07037325"</f>
        <v>07037325</v>
      </c>
      <c r="B320" t="s">
        <v>386</v>
      </c>
      <c r="C320" t="s">
        <v>7</v>
      </c>
      <c r="D320" t="str">
        <f t="shared" si="18"/>
        <v>563552</v>
      </c>
      <c r="E320" t="s">
        <v>363</v>
      </c>
      <c r="F320" t="s">
        <v>29</v>
      </c>
    </row>
    <row r="321" spans="1:6" x14ac:dyDescent="0.25">
      <c r="A321" t="str">
        <f>"22739670"</f>
        <v>22739670</v>
      </c>
      <c r="B321" t="s">
        <v>387</v>
      </c>
      <c r="C321" t="s">
        <v>7</v>
      </c>
      <c r="D321" t="str">
        <f t="shared" si="18"/>
        <v>563552</v>
      </c>
      <c r="E321" t="s">
        <v>363</v>
      </c>
      <c r="F321" t="s">
        <v>35</v>
      </c>
    </row>
    <row r="322" spans="1:6" x14ac:dyDescent="0.25">
      <c r="A322" t="str">
        <f>"65265157"</f>
        <v>65265157</v>
      </c>
      <c r="B322" t="s">
        <v>388</v>
      </c>
      <c r="C322" t="s">
        <v>7</v>
      </c>
      <c r="D322" t="str">
        <f t="shared" si="18"/>
        <v>563552</v>
      </c>
      <c r="E322" t="s">
        <v>363</v>
      </c>
      <c r="F322" t="s">
        <v>389</v>
      </c>
    </row>
    <row r="323" spans="1:6" x14ac:dyDescent="0.25">
      <c r="A323" t="str">
        <f>"16389972"</f>
        <v>16389972</v>
      </c>
      <c r="B323" t="s">
        <v>390</v>
      </c>
      <c r="C323" t="s">
        <v>15</v>
      </c>
      <c r="D323" t="str">
        <f t="shared" si="18"/>
        <v>563552</v>
      </c>
      <c r="E323" t="s">
        <v>363</v>
      </c>
      <c r="F323" t="s">
        <v>16</v>
      </c>
    </row>
    <row r="324" spans="1:6" x14ac:dyDescent="0.25">
      <c r="A324" t="str">
        <f>"60254904"</f>
        <v>60254904</v>
      </c>
      <c r="B324" t="s">
        <v>391</v>
      </c>
      <c r="C324" t="s">
        <v>15</v>
      </c>
      <c r="D324" t="str">
        <f t="shared" si="18"/>
        <v>563552</v>
      </c>
      <c r="E324" t="s">
        <v>363</v>
      </c>
      <c r="F324" t="s">
        <v>16</v>
      </c>
    </row>
    <row r="325" spans="1:6" x14ac:dyDescent="0.25">
      <c r="A325" t="str">
        <f>"14868385"</f>
        <v>14868385</v>
      </c>
      <c r="B325" t="s">
        <v>392</v>
      </c>
      <c r="C325" t="s">
        <v>15</v>
      </c>
      <c r="D325" t="str">
        <f t="shared" si="18"/>
        <v>563552</v>
      </c>
      <c r="E325" t="s">
        <v>363</v>
      </c>
      <c r="F325" t="s">
        <v>16</v>
      </c>
    </row>
    <row r="326" spans="1:6" x14ac:dyDescent="0.25">
      <c r="A326" t="str">
        <f>"60254912"</f>
        <v>60254912</v>
      </c>
      <c r="B326" t="s">
        <v>393</v>
      </c>
      <c r="C326" t="s">
        <v>15</v>
      </c>
      <c r="D326" t="str">
        <f t="shared" si="18"/>
        <v>563552</v>
      </c>
      <c r="E326" t="s">
        <v>363</v>
      </c>
      <c r="F326" t="s">
        <v>16</v>
      </c>
    </row>
    <row r="327" spans="1:6" x14ac:dyDescent="0.25">
      <c r="A327" t="str">
        <f>"64668177"</f>
        <v>64668177</v>
      </c>
      <c r="B327" t="s">
        <v>394</v>
      </c>
      <c r="C327" t="s">
        <v>15</v>
      </c>
      <c r="D327" t="str">
        <f t="shared" si="18"/>
        <v>563552</v>
      </c>
      <c r="E327" t="s">
        <v>363</v>
      </c>
      <c r="F327" t="s">
        <v>16</v>
      </c>
    </row>
    <row r="328" spans="1:6" x14ac:dyDescent="0.25">
      <c r="A328" t="str">
        <f>"22873465"</f>
        <v>22873465</v>
      </c>
      <c r="B328" t="s">
        <v>395</v>
      </c>
      <c r="C328" t="s">
        <v>7</v>
      </c>
      <c r="D328" t="str">
        <f t="shared" si="18"/>
        <v>563552</v>
      </c>
      <c r="E328" t="s">
        <v>363</v>
      </c>
      <c r="F328" t="s">
        <v>18</v>
      </c>
    </row>
    <row r="329" spans="1:6" x14ac:dyDescent="0.25">
      <c r="A329" t="str">
        <f>"26588145"</f>
        <v>26588145</v>
      </c>
      <c r="B329" t="s">
        <v>396</v>
      </c>
      <c r="C329" t="s">
        <v>7</v>
      </c>
      <c r="D329" t="str">
        <f t="shared" si="18"/>
        <v>563552</v>
      </c>
      <c r="E329" t="s">
        <v>363</v>
      </c>
      <c r="F329" t="s">
        <v>11</v>
      </c>
    </row>
    <row r="330" spans="1:6" x14ac:dyDescent="0.25">
      <c r="A330" t="str">
        <f>"27017214"</f>
        <v>27017214</v>
      </c>
      <c r="B330" t="s">
        <v>397</v>
      </c>
      <c r="C330" t="s">
        <v>7</v>
      </c>
      <c r="D330" t="str">
        <f t="shared" si="18"/>
        <v>563552</v>
      </c>
      <c r="E330" t="s">
        <v>363</v>
      </c>
      <c r="F330" t="s">
        <v>11</v>
      </c>
    </row>
    <row r="331" spans="1:6" x14ac:dyDescent="0.25">
      <c r="A331" t="str">
        <f>"70805482"</f>
        <v>70805482</v>
      </c>
      <c r="B331" t="s">
        <v>398</v>
      </c>
      <c r="C331" t="s">
        <v>43</v>
      </c>
      <c r="D331" t="str">
        <f t="shared" si="18"/>
        <v>563552</v>
      </c>
      <c r="E331" t="s">
        <v>363</v>
      </c>
      <c r="F331" t="s">
        <v>44</v>
      </c>
    </row>
    <row r="332" spans="1:6" x14ac:dyDescent="0.25">
      <c r="A332" t="str">
        <f>"14113635"</f>
        <v>14113635</v>
      </c>
      <c r="B332" t="s">
        <v>399</v>
      </c>
      <c r="C332" t="s">
        <v>7</v>
      </c>
      <c r="D332" t="str">
        <f t="shared" si="18"/>
        <v>563552</v>
      </c>
      <c r="E332" t="s">
        <v>363</v>
      </c>
      <c r="F332" t="s">
        <v>11</v>
      </c>
    </row>
    <row r="333" spans="1:6" x14ac:dyDescent="0.25">
      <c r="A333" t="str">
        <f>"22744541"</f>
        <v>22744541</v>
      </c>
      <c r="B333" t="s">
        <v>400</v>
      </c>
      <c r="C333" t="s">
        <v>7</v>
      </c>
      <c r="D333" t="str">
        <f t="shared" si="18"/>
        <v>563552</v>
      </c>
      <c r="E333" t="s">
        <v>363</v>
      </c>
      <c r="F333" t="s">
        <v>62</v>
      </c>
    </row>
    <row r="334" spans="1:6" x14ac:dyDescent="0.25">
      <c r="A334" t="str">
        <f>"75120364"</f>
        <v>75120364</v>
      </c>
      <c r="B334" t="s">
        <v>401</v>
      </c>
      <c r="C334" t="s">
        <v>15</v>
      </c>
      <c r="D334" t="str">
        <f t="shared" si="18"/>
        <v>563552</v>
      </c>
      <c r="E334" t="s">
        <v>363</v>
      </c>
      <c r="F334" t="s">
        <v>9</v>
      </c>
    </row>
    <row r="335" spans="1:6" x14ac:dyDescent="0.25">
      <c r="A335" t="str">
        <f>"16389514"</f>
        <v>16389514</v>
      </c>
      <c r="B335" t="s">
        <v>402</v>
      </c>
      <c r="C335" t="s">
        <v>7</v>
      </c>
      <c r="D335" t="str">
        <f t="shared" si="18"/>
        <v>563552</v>
      </c>
      <c r="E335" t="s">
        <v>363</v>
      </c>
      <c r="F335" t="s">
        <v>9</v>
      </c>
    </row>
    <row r="336" spans="1:6" x14ac:dyDescent="0.25">
      <c r="A336" t="str">
        <f>"71249656"</f>
        <v>71249656</v>
      </c>
      <c r="B336" t="s">
        <v>403</v>
      </c>
      <c r="C336" t="s">
        <v>20</v>
      </c>
      <c r="D336" t="str">
        <f t="shared" si="18"/>
        <v>563552</v>
      </c>
      <c r="E336" t="s">
        <v>363</v>
      </c>
      <c r="F336" t="s">
        <v>21</v>
      </c>
    </row>
    <row r="337" spans="1:6" x14ac:dyDescent="0.25">
      <c r="A337" t="str">
        <f>"66112818"</f>
        <v>66112818</v>
      </c>
      <c r="B337" t="s">
        <v>404</v>
      </c>
      <c r="C337" t="s">
        <v>15</v>
      </c>
      <c r="D337" t="str">
        <f t="shared" si="18"/>
        <v>563552</v>
      </c>
      <c r="E337" t="s">
        <v>363</v>
      </c>
      <c r="F337" t="s">
        <v>11</v>
      </c>
    </row>
    <row r="338" spans="1:6" x14ac:dyDescent="0.25">
      <c r="A338" t="str">
        <f>"16389361"</f>
        <v>16389361</v>
      </c>
      <c r="B338" t="s">
        <v>405</v>
      </c>
      <c r="C338" t="s">
        <v>20</v>
      </c>
      <c r="D338" t="str">
        <f t="shared" si="18"/>
        <v>563552</v>
      </c>
      <c r="E338" t="s">
        <v>363</v>
      </c>
      <c r="F338" t="s">
        <v>21</v>
      </c>
    </row>
    <row r="339" spans="1:6" x14ac:dyDescent="0.25">
      <c r="A339" t="str">
        <f>"46745416"</f>
        <v>46745416</v>
      </c>
      <c r="B339" t="s">
        <v>406</v>
      </c>
      <c r="C339" t="s">
        <v>37</v>
      </c>
      <c r="D339" t="str">
        <f t="shared" ref="D339:D351" si="19">"530468"</f>
        <v>530468</v>
      </c>
      <c r="E339" t="s">
        <v>407</v>
      </c>
      <c r="F339" t="s">
        <v>38</v>
      </c>
    </row>
    <row r="340" spans="1:6" x14ac:dyDescent="0.25">
      <c r="A340" t="str">
        <f>"22612254"</f>
        <v>22612254</v>
      </c>
      <c r="B340" t="s">
        <v>408</v>
      </c>
      <c r="C340" t="s">
        <v>7</v>
      </c>
      <c r="D340" t="str">
        <f t="shared" si="19"/>
        <v>530468</v>
      </c>
      <c r="E340" t="s">
        <v>407</v>
      </c>
      <c r="F340" t="s">
        <v>11</v>
      </c>
    </row>
    <row r="341" spans="1:6" x14ac:dyDescent="0.25">
      <c r="A341" t="str">
        <f>"06284582"</f>
        <v>06284582</v>
      </c>
      <c r="B341" t="s">
        <v>409</v>
      </c>
      <c r="C341" t="s">
        <v>7</v>
      </c>
      <c r="D341" t="str">
        <f t="shared" si="19"/>
        <v>530468</v>
      </c>
      <c r="E341" t="s">
        <v>407</v>
      </c>
      <c r="F341" t="s">
        <v>11</v>
      </c>
    </row>
    <row r="342" spans="1:6" x14ac:dyDescent="0.25">
      <c r="A342" t="str">
        <f>"09396187"</f>
        <v>09396187</v>
      </c>
      <c r="B342" t="s">
        <v>410</v>
      </c>
      <c r="C342" t="s">
        <v>7</v>
      </c>
      <c r="D342" t="str">
        <f t="shared" si="19"/>
        <v>530468</v>
      </c>
      <c r="E342" t="s">
        <v>407</v>
      </c>
      <c r="F342" t="s">
        <v>18</v>
      </c>
    </row>
    <row r="343" spans="1:6" x14ac:dyDescent="0.25">
      <c r="A343" t="str">
        <f>"46749462"</f>
        <v>46749462</v>
      </c>
      <c r="B343" t="s">
        <v>411</v>
      </c>
      <c r="C343" t="s">
        <v>43</v>
      </c>
      <c r="D343" t="str">
        <f t="shared" si="19"/>
        <v>530468</v>
      </c>
      <c r="E343" t="s">
        <v>407</v>
      </c>
      <c r="F343" t="s">
        <v>44</v>
      </c>
    </row>
    <row r="344" spans="1:6" x14ac:dyDescent="0.25">
      <c r="A344" t="str">
        <f>"46749187"</f>
        <v>46749187</v>
      </c>
      <c r="B344" t="s">
        <v>412</v>
      </c>
      <c r="C344" t="s">
        <v>43</v>
      </c>
      <c r="D344" t="str">
        <f t="shared" si="19"/>
        <v>530468</v>
      </c>
      <c r="E344" t="s">
        <v>407</v>
      </c>
      <c r="F344" t="s">
        <v>44</v>
      </c>
    </row>
    <row r="345" spans="1:6" x14ac:dyDescent="0.25">
      <c r="A345" t="str">
        <f>"46749152"</f>
        <v>46749152</v>
      </c>
      <c r="B345" t="s">
        <v>413</v>
      </c>
      <c r="C345" t="s">
        <v>43</v>
      </c>
      <c r="D345" t="str">
        <f t="shared" si="19"/>
        <v>530468</v>
      </c>
      <c r="E345" t="s">
        <v>407</v>
      </c>
      <c r="F345" t="s">
        <v>44</v>
      </c>
    </row>
    <row r="346" spans="1:6" x14ac:dyDescent="0.25">
      <c r="A346" t="str">
        <f>"46745556"</f>
        <v>46745556</v>
      </c>
      <c r="B346" t="s">
        <v>414</v>
      </c>
      <c r="C346" t="s">
        <v>43</v>
      </c>
      <c r="D346" t="str">
        <f t="shared" si="19"/>
        <v>530468</v>
      </c>
      <c r="E346" t="s">
        <v>407</v>
      </c>
      <c r="F346" t="s">
        <v>44</v>
      </c>
    </row>
    <row r="347" spans="1:6" x14ac:dyDescent="0.25">
      <c r="A347" t="str">
        <f>"64039315"</f>
        <v>64039315</v>
      </c>
      <c r="B347" t="s">
        <v>415</v>
      </c>
      <c r="C347" t="s">
        <v>15</v>
      </c>
      <c r="D347" t="str">
        <f t="shared" si="19"/>
        <v>530468</v>
      </c>
      <c r="E347" t="s">
        <v>407</v>
      </c>
      <c r="F347" t="s">
        <v>16</v>
      </c>
    </row>
    <row r="348" spans="1:6" x14ac:dyDescent="0.25">
      <c r="A348" t="str">
        <f>"64039293"</f>
        <v>64039293</v>
      </c>
      <c r="B348" t="s">
        <v>416</v>
      </c>
      <c r="C348" t="s">
        <v>15</v>
      </c>
      <c r="D348" t="str">
        <f t="shared" si="19"/>
        <v>530468</v>
      </c>
      <c r="E348" t="s">
        <v>407</v>
      </c>
      <c r="F348" t="s">
        <v>16</v>
      </c>
    </row>
    <row r="349" spans="1:6" x14ac:dyDescent="0.25">
      <c r="A349" t="str">
        <f>"26572109"</f>
        <v>26572109</v>
      </c>
      <c r="B349" t="s">
        <v>417</v>
      </c>
      <c r="C349" t="s">
        <v>7</v>
      </c>
      <c r="D349" t="str">
        <f t="shared" si="19"/>
        <v>530468</v>
      </c>
      <c r="E349" t="s">
        <v>407</v>
      </c>
      <c r="F349" t="s">
        <v>35</v>
      </c>
    </row>
    <row r="350" spans="1:6" x14ac:dyDescent="0.25">
      <c r="A350" t="str">
        <f>"26547694"</f>
        <v>26547694</v>
      </c>
      <c r="B350" t="s">
        <v>418</v>
      </c>
      <c r="C350" t="s">
        <v>7</v>
      </c>
      <c r="D350" t="str">
        <f t="shared" si="19"/>
        <v>530468</v>
      </c>
      <c r="E350" t="s">
        <v>407</v>
      </c>
      <c r="F350" t="s">
        <v>9</v>
      </c>
    </row>
    <row r="351" spans="1:6" x14ac:dyDescent="0.25">
      <c r="A351" t="str">
        <f>"26560445"</f>
        <v>26560445</v>
      </c>
      <c r="B351" t="s">
        <v>419</v>
      </c>
      <c r="C351" t="s">
        <v>7</v>
      </c>
      <c r="D351" t="str">
        <f t="shared" si="19"/>
        <v>530468</v>
      </c>
      <c r="E351" t="s">
        <v>407</v>
      </c>
      <c r="F351" t="s">
        <v>11</v>
      </c>
    </row>
    <row r="352" spans="1:6" x14ac:dyDescent="0.25">
      <c r="A352" t="str">
        <f>"22740350"</f>
        <v>22740350</v>
      </c>
      <c r="B352" t="s">
        <v>420</v>
      </c>
      <c r="C352" t="s">
        <v>7</v>
      </c>
      <c r="D352" t="str">
        <f t="shared" ref="D352:D383" si="20">"561495"</f>
        <v>561495</v>
      </c>
      <c r="E352" t="s">
        <v>421</v>
      </c>
      <c r="F352" t="s">
        <v>11</v>
      </c>
    </row>
    <row r="353" spans="1:6" x14ac:dyDescent="0.25">
      <c r="A353" t="str">
        <f>"22832602"</f>
        <v>22832602</v>
      </c>
      <c r="B353" t="s">
        <v>422</v>
      </c>
      <c r="C353" t="s">
        <v>7</v>
      </c>
      <c r="D353" t="str">
        <f t="shared" si="20"/>
        <v>561495</v>
      </c>
      <c r="E353" t="s">
        <v>421</v>
      </c>
      <c r="F353" t="s">
        <v>11</v>
      </c>
    </row>
    <row r="354" spans="1:6" x14ac:dyDescent="0.25">
      <c r="A354" t="str">
        <f>"68299249"</f>
        <v>68299249</v>
      </c>
      <c r="B354" t="s">
        <v>423</v>
      </c>
      <c r="C354" t="s">
        <v>7</v>
      </c>
      <c r="D354" t="str">
        <f t="shared" si="20"/>
        <v>561495</v>
      </c>
      <c r="E354" t="s">
        <v>421</v>
      </c>
      <c r="F354" t="s">
        <v>424</v>
      </c>
    </row>
    <row r="355" spans="1:6" x14ac:dyDescent="0.25">
      <c r="A355" t="str">
        <f>"06094155"</f>
        <v>06094155</v>
      </c>
      <c r="B355" t="s">
        <v>425</v>
      </c>
      <c r="C355" t="s">
        <v>7</v>
      </c>
      <c r="D355" t="str">
        <f t="shared" si="20"/>
        <v>561495</v>
      </c>
      <c r="E355" t="s">
        <v>421</v>
      </c>
      <c r="F355" t="s">
        <v>35</v>
      </c>
    </row>
    <row r="356" spans="1:6" x14ac:dyDescent="0.25">
      <c r="A356" t="str">
        <f>"26672693"</f>
        <v>26672693</v>
      </c>
      <c r="B356" t="s">
        <v>426</v>
      </c>
      <c r="C356" t="s">
        <v>7</v>
      </c>
      <c r="D356" t="str">
        <f t="shared" si="20"/>
        <v>561495</v>
      </c>
      <c r="E356" t="s">
        <v>421</v>
      </c>
      <c r="F356" t="s">
        <v>11</v>
      </c>
    </row>
    <row r="357" spans="1:6" x14ac:dyDescent="0.25">
      <c r="A357" t="str">
        <f>"14350823"</f>
        <v>14350823</v>
      </c>
      <c r="B357" t="s">
        <v>427</v>
      </c>
      <c r="C357" t="s">
        <v>7</v>
      </c>
      <c r="D357" t="str">
        <f t="shared" si="20"/>
        <v>561495</v>
      </c>
      <c r="E357" t="s">
        <v>421</v>
      </c>
      <c r="F357" t="s">
        <v>18</v>
      </c>
    </row>
    <row r="358" spans="1:6" x14ac:dyDescent="0.25">
      <c r="A358" t="str">
        <f>"03704866"</f>
        <v>03704866</v>
      </c>
      <c r="B358" t="s">
        <v>428</v>
      </c>
      <c r="C358" t="s">
        <v>7</v>
      </c>
      <c r="D358" t="str">
        <f t="shared" si="20"/>
        <v>561495</v>
      </c>
      <c r="E358" t="s">
        <v>421</v>
      </c>
      <c r="F358" t="s">
        <v>65</v>
      </c>
    </row>
    <row r="359" spans="1:6" x14ac:dyDescent="0.25">
      <c r="A359" t="str">
        <f>"07703406"</f>
        <v>07703406</v>
      </c>
      <c r="B359" t="s">
        <v>429</v>
      </c>
      <c r="C359" t="s">
        <v>7</v>
      </c>
      <c r="D359" t="str">
        <f t="shared" si="20"/>
        <v>561495</v>
      </c>
      <c r="E359" t="s">
        <v>421</v>
      </c>
      <c r="F359" t="s">
        <v>62</v>
      </c>
    </row>
    <row r="360" spans="1:6" x14ac:dyDescent="0.25">
      <c r="A360" t="str">
        <f>"72025476"</f>
        <v>72025476</v>
      </c>
      <c r="B360" t="s">
        <v>430</v>
      </c>
      <c r="C360" t="s">
        <v>15</v>
      </c>
      <c r="D360" t="str">
        <f t="shared" si="20"/>
        <v>561495</v>
      </c>
      <c r="E360" t="s">
        <v>421</v>
      </c>
      <c r="F360" t="s">
        <v>29</v>
      </c>
    </row>
    <row r="361" spans="1:6" x14ac:dyDescent="0.25">
      <c r="A361" t="str">
        <f>"17539536"</f>
        <v>17539536</v>
      </c>
      <c r="B361" t="s">
        <v>431</v>
      </c>
      <c r="C361" t="s">
        <v>7</v>
      </c>
      <c r="D361" t="str">
        <f t="shared" si="20"/>
        <v>561495</v>
      </c>
      <c r="E361" t="s">
        <v>421</v>
      </c>
      <c r="F361" t="s">
        <v>11</v>
      </c>
    </row>
    <row r="362" spans="1:6" x14ac:dyDescent="0.25">
      <c r="A362" t="str">
        <f>"22837973"</f>
        <v>22837973</v>
      </c>
      <c r="B362" t="s">
        <v>432</v>
      </c>
      <c r="C362" t="s">
        <v>7</v>
      </c>
      <c r="D362" t="str">
        <f t="shared" si="20"/>
        <v>561495</v>
      </c>
      <c r="E362" t="s">
        <v>421</v>
      </c>
      <c r="F362" t="s">
        <v>35</v>
      </c>
    </row>
    <row r="363" spans="1:6" x14ac:dyDescent="0.25">
      <c r="A363" t="str">
        <f>"27026141"</f>
        <v>27026141</v>
      </c>
      <c r="B363" t="s">
        <v>433</v>
      </c>
      <c r="C363" t="s">
        <v>7</v>
      </c>
      <c r="D363" t="str">
        <f t="shared" si="20"/>
        <v>561495</v>
      </c>
      <c r="E363" t="s">
        <v>421</v>
      </c>
      <c r="F363" t="s">
        <v>9</v>
      </c>
    </row>
    <row r="364" spans="1:6" x14ac:dyDescent="0.25">
      <c r="A364" t="str">
        <f>"71155384"</f>
        <v>71155384</v>
      </c>
      <c r="B364" t="s">
        <v>434</v>
      </c>
      <c r="C364" t="s">
        <v>37</v>
      </c>
      <c r="D364" t="str">
        <f t="shared" si="20"/>
        <v>561495</v>
      </c>
      <c r="E364" t="s">
        <v>421</v>
      </c>
      <c r="F364" t="s">
        <v>38</v>
      </c>
    </row>
    <row r="365" spans="1:6" x14ac:dyDescent="0.25">
      <c r="A365" t="str">
        <f>"71229221"</f>
        <v>71229221</v>
      </c>
      <c r="B365" t="s">
        <v>435</v>
      </c>
      <c r="C365" t="s">
        <v>37</v>
      </c>
      <c r="D365" t="str">
        <f t="shared" si="20"/>
        <v>561495</v>
      </c>
      <c r="E365" t="s">
        <v>421</v>
      </c>
      <c r="F365" t="s">
        <v>38</v>
      </c>
    </row>
    <row r="366" spans="1:6" x14ac:dyDescent="0.25">
      <c r="A366" t="str">
        <f>"71180362"</f>
        <v>71180362</v>
      </c>
      <c r="B366" t="s">
        <v>436</v>
      </c>
      <c r="C366" t="s">
        <v>37</v>
      </c>
      <c r="D366" t="str">
        <f t="shared" si="20"/>
        <v>561495</v>
      </c>
      <c r="E366" t="s">
        <v>421</v>
      </c>
      <c r="F366" t="s">
        <v>38</v>
      </c>
    </row>
    <row r="367" spans="1:6" x14ac:dyDescent="0.25">
      <c r="A367" t="str">
        <f>"03740013"</f>
        <v>03740013</v>
      </c>
      <c r="B367" t="s">
        <v>437</v>
      </c>
      <c r="C367" t="s">
        <v>37</v>
      </c>
      <c r="D367" t="str">
        <f t="shared" si="20"/>
        <v>561495</v>
      </c>
      <c r="E367" t="s">
        <v>421</v>
      </c>
      <c r="F367" t="s">
        <v>38</v>
      </c>
    </row>
    <row r="368" spans="1:6" x14ac:dyDescent="0.25">
      <c r="A368" t="str">
        <f>"46750452"</f>
        <v>46750452</v>
      </c>
      <c r="B368" t="s">
        <v>438</v>
      </c>
      <c r="C368" t="s">
        <v>37</v>
      </c>
      <c r="D368" t="str">
        <f t="shared" si="20"/>
        <v>561495</v>
      </c>
      <c r="E368" t="s">
        <v>421</v>
      </c>
      <c r="F368" t="s">
        <v>38</v>
      </c>
    </row>
    <row r="369" spans="1:6" x14ac:dyDescent="0.25">
      <c r="A369" t="str">
        <f>"04792408"</f>
        <v>04792408</v>
      </c>
      <c r="B369" t="s">
        <v>439</v>
      </c>
      <c r="C369" t="s">
        <v>7</v>
      </c>
      <c r="D369" t="str">
        <f t="shared" si="20"/>
        <v>561495</v>
      </c>
      <c r="E369" t="s">
        <v>421</v>
      </c>
      <c r="F369" t="s">
        <v>62</v>
      </c>
    </row>
    <row r="370" spans="1:6" x14ac:dyDescent="0.25">
      <c r="A370" t="str">
        <f>"02012375"</f>
        <v>02012375</v>
      </c>
      <c r="B370" t="s">
        <v>440</v>
      </c>
      <c r="C370" t="s">
        <v>7</v>
      </c>
      <c r="D370" t="str">
        <f t="shared" si="20"/>
        <v>561495</v>
      </c>
      <c r="E370" t="s">
        <v>421</v>
      </c>
      <c r="F370" t="s">
        <v>62</v>
      </c>
    </row>
    <row r="371" spans="1:6" x14ac:dyDescent="0.25">
      <c r="A371" t="str">
        <f>"26594536"</f>
        <v>26594536</v>
      </c>
      <c r="B371" t="s">
        <v>441</v>
      </c>
      <c r="C371" t="s">
        <v>7</v>
      </c>
      <c r="D371" t="str">
        <f t="shared" si="20"/>
        <v>561495</v>
      </c>
      <c r="E371" t="s">
        <v>421</v>
      </c>
      <c r="F371" t="s">
        <v>9</v>
      </c>
    </row>
    <row r="372" spans="1:6" x14ac:dyDescent="0.25">
      <c r="A372" t="str">
        <f>"01165861"</f>
        <v>01165861</v>
      </c>
      <c r="B372" t="s">
        <v>442</v>
      </c>
      <c r="C372" t="s">
        <v>7</v>
      </c>
      <c r="D372" t="str">
        <f t="shared" si="20"/>
        <v>561495</v>
      </c>
      <c r="E372" t="s">
        <v>421</v>
      </c>
      <c r="F372" t="s">
        <v>62</v>
      </c>
    </row>
    <row r="373" spans="1:6" x14ac:dyDescent="0.25">
      <c r="A373" t="str">
        <f>"27020258"</f>
        <v>27020258</v>
      </c>
      <c r="B373" t="s">
        <v>443</v>
      </c>
      <c r="C373" t="s">
        <v>7</v>
      </c>
      <c r="D373" t="str">
        <f t="shared" si="20"/>
        <v>561495</v>
      </c>
      <c r="E373" t="s">
        <v>421</v>
      </c>
      <c r="F373" t="s">
        <v>9</v>
      </c>
    </row>
    <row r="374" spans="1:6" x14ac:dyDescent="0.25">
      <c r="A374" t="str">
        <f>"62237161"</f>
        <v>62237161</v>
      </c>
      <c r="B374" t="s">
        <v>444</v>
      </c>
      <c r="C374" t="s">
        <v>15</v>
      </c>
      <c r="D374" t="str">
        <f t="shared" si="20"/>
        <v>561495</v>
      </c>
      <c r="E374" t="s">
        <v>421</v>
      </c>
      <c r="F374" t="s">
        <v>139</v>
      </c>
    </row>
    <row r="375" spans="1:6" x14ac:dyDescent="0.25">
      <c r="A375" t="str">
        <f>"22678948"</f>
        <v>22678948</v>
      </c>
      <c r="B375" t="s">
        <v>445</v>
      </c>
      <c r="C375" t="s">
        <v>7</v>
      </c>
      <c r="D375" t="str">
        <f t="shared" si="20"/>
        <v>561495</v>
      </c>
      <c r="E375" t="s">
        <v>421</v>
      </c>
      <c r="F375" t="s">
        <v>11</v>
      </c>
    </row>
    <row r="376" spans="1:6" x14ac:dyDescent="0.25">
      <c r="A376" t="str">
        <f>"05039355"</f>
        <v>05039355</v>
      </c>
      <c r="B376" t="s">
        <v>446</v>
      </c>
      <c r="C376" t="s">
        <v>7</v>
      </c>
      <c r="D376" t="str">
        <f t="shared" si="20"/>
        <v>561495</v>
      </c>
      <c r="E376" t="s">
        <v>421</v>
      </c>
      <c r="F376" t="s">
        <v>11</v>
      </c>
    </row>
    <row r="377" spans="1:6" x14ac:dyDescent="0.25">
      <c r="A377" t="str">
        <f>"26663015"</f>
        <v>26663015</v>
      </c>
      <c r="B377" t="s">
        <v>447</v>
      </c>
      <c r="C377" t="s">
        <v>7</v>
      </c>
      <c r="D377" t="str">
        <f t="shared" si="20"/>
        <v>561495</v>
      </c>
      <c r="E377" t="s">
        <v>421</v>
      </c>
      <c r="F377" t="s">
        <v>137</v>
      </c>
    </row>
    <row r="378" spans="1:6" x14ac:dyDescent="0.25">
      <c r="A378" t="str">
        <f>"01602322"</f>
        <v>01602322</v>
      </c>
      <c r="B378" t="s">
        <v>448</v>
      </c>
      <c r="C378" t="s">
        <v>7</v>
      </c>
      <c r="D378" t="str">
        <f t="shared" si="20"/>
        <v>561495</v>
      </c>
      <c r="E378" t="s">
        <v>421</v>
      </c>
      <c r="F378" t="s">
        <v>18</v>
      </c>
    </row>
    <row r="379" spans="1:6" x14ac:dyDescent="0.25">
      <c r="A379" t="str">
        <f>"22766081"</f>
        <v>22766081</v>
      </c>
      <c r="B379" t="s">
        <v>449</v>
      </c>
      <c r="C379" t="s">
        <v>7</v>
      </c>
      <c r="D379" t="str">
        <f t="shared" si="20"/>
        <v>561495</v>
      </c>
      <c r="E379" t="s">
        <v>421</v>
      </c>
      <c r="F379" t="s">
        <v>29</v>
      </c>
    </row>
    <row r="380" spans="1:6" x14ac:dyDescent="0.25">
      <c r="A380" t="str">
        <f>"07115636"</f>
        <v>07115636</v>
      </c>
      <c r="B380" t="s">
        <v>450</v>
      </c>
      <c r="C380" t="s">
        <v>7</v>
      </c>
      <c r="D380" t="str">
        <f t="shared" si="20"/>
        <v>561495</v>
      </c>
      <c r="E380" t="s">
        <v>421</v>
      </c>
      <c r="F380" t="s">
        <v>11</v>
      </c>
    </row>
    <row r="381" spans="1:6" x14ac:dyDescent="0.25">
      <c r="A381" t="str">
        <f>"05786533"</f>
        <v>05786533</v>
      </c>
      <c r="B381" t="s">
        <v>451</v>
      </c>
      <c r="C381" t="s">
        <v>7</v>
      </c>
      <c r="D381" t="str">
        <f t="shared" si="20"/>
        <v>561495</v>
      </c>
      <c r="E381" t="s">
        <v>421</v>
      </c>
      <c r="F381" t="s">
        <v>18</v>
      </c>
    </row>
    <row r="382" spans="1:6" x14ac:dyDescent="0.25">
      <c r="A382" t="str">
        <f>"06806422"</f>
        <v>06806422</v>
      </c>
      <c r="B382" t="s">
        <v>452</v>
      </c>
      <c r="C382" t="s">
        <v>7</v>
      </c>
      <c r="D382" t="str">
        <f t="shared" si="20"/>
        <v>561495</v>
      </c>
      <c r="E382" t="s">
        <v>421</v>
      </c>
      <c r="F382" t="s">
        <v>29</v>
      </c>
    </row>
    <row r="383" spans="1:6" x14ac:dyDescent="0.25">
      <c r="A383" t="str">
        <f>"03949443"</f>
        <v>03949443</v>
      </c>
      <c r="B383" t="s">
        <v>453</v>
      </c>
      <c r="C383" t="s">
        <v>7</v>
      </c>
      <c r="D383" t="str">
        <f t="shared" si="20"/>
        <v>561495</v>
      </c>
      <c r="E383" t="s">
        <v>421</v>
      </c>
      <c r="F383" t="s">
        <v>13</v>
      </c>
    </row>
    <row r="384" spans="1:6" x14ac:dyDescent="0.25">
      <c r="A384" t="str">
        <f>"01401076"</f>
        <v>01401076</v>
      </c>
      <c r="B384" t="s">
        <v>454</v>
      </c>
      <c r="C384" t="s">
        <v>7</v>
      </c>
      <c r="D384" t="str">
        <f t="shared" ref="D384:D415" si="21">"561495"</f>
        <v>561495</v>
      </c>
      <c r="E384" t="s">
        <v>421</v>
      </c>
      <c r="F384" t="s">
        <v>38</v>
      </c>
    </row>
    <row r="385" spans="1:6" x14ac:dyDescent="0.25">
      <c r="A385" t="str">
        <f>"48282014"</f>
        <v>48282014</v>
      </c>
      <c r="B385" t="s">
        <v>455</v>
      </c>
      <c r="C385" t="s">
        <v>7</v>
      </c>
      <c r="D385" t="str">
        <f t="shared" si="21"/>
        <v>561495</v>
      </c>
      <c r="E385" t="s">
        <v>421</v>
      </c>
      <c r="F385" t="s">
        <v>38</v>
      </c>
    </row>
    <row r="386" spans="1:6" x14ac:dyDescent="0.25">
      <c r="A386" t="str">
        <f>"70828652"</f>
        <v>70828652</v>
      </c>
      <c r="B386" t="s">
        <v>456</v>
      </c>
      <c r="C386" t="s">
        <v>7</v>
      </c>
      <c r="D386" t="str">
        <f t="shared" si="21"/>
        <v>561495</v>
      </c>
      <c r="E386" t="s">
        <v>421</v>
      </c>
      <c r="F386" t="s">
        <v>38</v>
      </c>
    </row>
    <row r="387" spans="1:6" x14ac:dyDescent="0.25">
      <c r="A387" t="str">
        <f>"28732057"</f>
        <v>28732057</v>
      </c>
      <c r="B387" t="s">
        <v>457</v>
      </c>
      <c r="C387" t="s">
        <v>325</v>
      </c>
      <c r="D387" t="str">
        <f t="shared" si="21"/>
        <v>561495</v>
      </c>
      <c r="E387" t="s">
        <v>421</v>
      </c>
      <c r="F387" t="s">
        <v>379</v>
      </c>
    </row>
    <row r="388" spans="1:6" x14ac:dyDescent="0.25">
      <c r="A388" t="str">
        <f>"19262167"</f>
        <v>19262167</v>
      </c>
      <c r="B388" t="s">
        <v>458</v>
      </c>
      <c r="C388" t="s">
        <v>124</v>
      </c>
      <c r="D388" t="str">
        <f t="shared" si="21"/>
        <v>561495</v>
      </c>
      <c r="E388" t="s">
        <v>421</v>
      </c>
      <c r="F388" t="s">
        <v>11</v>
      </c>
    </row>
    <row r="389" spans="1:6" x14ac:dyDescent="0.25">
      <c r="A389" t="str">
        <f>"63155915"</f>
        <v>63155915</v>
      </c>
      <c r="B389" t="s">
        <v>459</v>
      </c>
      <c r="C389" t="s">
        <v>7</v>
      </c>
      <c r="D389" t="str">
        <f t="shared" si="21"/>
        <v>561495</v>
      </c>
      <c r="E389" t="s">
        <v>421</v>
      </c>
      <c r="F389" t="s">
        <v>9</v>
      </c>
    </row>
    <row r="390" spans="1:6" x14ac:dyDescent="0.25">
      <c r="A390" t="str">
        <f>"26540134"</f>
        <v>26540134</v>
      </c>
      <c r="B390" t="s">
        <v>460</v>
      </c>
      <c r="C390" t="s">
        <v>7</v>
      </c>
      <c r="D390" t="str">
        <f t="shared" si="21"/>
        <v>561495</v>
      </c>
      <c r="E390" t="s">
        <v>421</v>
      </c>
      <c r="F390" t="s">
        <v>18</v>
      </c>
    </row>
    <row r="391" spans="1:6" x14ac:dyDescent="0.25">
      <c r="A391" t="str">
        <f>"27313221"</f>
        <v>27313221</v>
      </c>
      <c r="B391" t="s">
        <v>461</v>
      </c>
      <c r="C391" t="s">
        <v>78</v>
      </c>
      <c r="D391" t="str">
        <f t="shared" si="21"/>
        <v>561495</v>
      </c>
      <c r="E391" t="s">
        <v>421</v>
      </c>
      <c r="F391" t="s">
        <v>11</v>
      </c>
    </row>
    <row r="392" spans="1:6" x14ac:dyDescent="0.25">
      <c r="A392" t="str">
        <f>"49864696"</f>
        <v>49864696</v>
      </c>
      <c r="B392" t="s">
        <v>462</v>
      </c>
      <c r="C392" t="s">
        <v>7</v>
      </c>
      <c r="D392" t="str">
        <f t="shared" si="21"/>
        <v>561495</v>
      </c>
      <c r="E392" t="s">
        <v>421</v>
      </c>
      <c r="F392" t="s">
        <v>9</v>
      </c>
    </row>
    <row r="393" spans="1:6" x14ac:dyDescent="0.25">
      <c r="A393" t="str">
        <f>"17947944"</f>
        <v>17947944</v>
      </c>
      <c r="B393" t="s">
        <v>463</v>
      </c>
      <c r="C393" t="s">
        <v>7</v>
      </c>
      <c r="D393" t="str">
        <f t="shared" si="21"/>
        <v>561495</v>
      </c>
      <c r="E393" t="s">
        <v>421</v>
      </c>
      <c r="F393" t="s">
        <v>29</v>
      </c>
    </row>
    <row r="394" spans="1:6" x14ac:dyDescent="0.25">
      <c r="A394" t="str">
        <f>"63778289"</f>
        <v>63778289</v>
      </c>
      <c r="B394" t="s">
        <v>464</v>
      </c>
      <c r="C394" t="s">
        <v>7</v>
      </c>
      <c r="D394" t="str">
        <f t="shared" si="21"/>
        <v>561495</v>
      </c>
      <c r="E394" t="s">
        <v>421</v>
      </c>
      <c r="F394" t="s">
        <v>35</v>
      </c>
    </row>
    <row r="395" spans="1:6" x14ac:dyDescent="0.25">
      <c r="A395" t="str">
        <f>"48282464"</f>
        <v>48282464</v>
      </c>
      <c r="B395" t="s">
        <v>465</v>
      </c>
      <c r="C395" t="s">
        <v>43</v>
      </c>
      <c r="D395" t="str">
        <f t="shared" si="21"/>
        <v>561495</v>
      </c>
      <c r="E395" t="s">
        <v>421</v>
      </c>
      <c r="F395" t="s">
        <v>44</v>
      </c>
    </row>
    <row r="396" spans="1:6" x14ac:dyDescent="0.25">
      <c r="A396" t="str">
        <f>"02502607"</f>
        <v>02502607</v>
      </c>
      <c r="B396" t="s">
        <v>466</v>
      </c>
      <c r="C396" t="s">
        <v>7</v>
      </c>
      <c r="D396" t="str">
        <f t="shared" si="21"/>
        <v>561495</v>
      </c>
      <c r="E396" t="s">
        <v>421</v>
      </c>
      <c r="F396" t="s">
        <v>11</v>
      </c>
    </row>
    <row r="397" spans="1:6" x14ac:dyDescent="0.25">
      <c r="A397" t="str">
        <f>"63778688"</f>
        <v>63778688</v>
      </c>
      <c r="B397" t="s">
        <v>467</v>
      </c>
      <c r="C397" t="s">
        <v>15</v>
      </c>
      <c r="D397" t="str">
        <f t="shared" si="21"/>
        <v>561495</v>
      </c>
      <c r="E397" t="s">
        <v>421</v>
      </c>
      <c r="F397" t="s">
        <v>16</v>
      </c>
    </row>
    <row r="398" spans="1:6" x14ac:dyDescent="0.25">
      <c r="A398" t="str">
        <f>"63778831"</f>
        <v>63778831</v>
      </c>
      <c r="B398" t="s">
        <v>468</v>
      </c>
      <c r="C398" t="s">
        <v>15</v>
      </c>
      <c r="D398" t="str">
        <f t="shared" si="21"/>
        <v>561495</v>
      </c>
      <c r="E398" t="s">
        <v>421</v>
      </c>
      <c r="F398" t="s">
        <v>16</v>
      </c>
    </row>
    <row r="399" spans="1:6" x14ac:dyDescent="0.25">
      <c r="A399" t="str">
        <f>"70855838"</f>
        <v>70855838</v>
      </c>
      <c r="B399" t="s">
        <v>469</v>
      </c>
      <c r="C399" t="s">
        <v>7</v>
      </c>
      <c r="D399" t="str">
        <f t="shared" si="21"/>
        <v>561495</v>
      </c>
      <c r="E399" t="s">
        <v>421</v>
      </c>
      <c r="F399" t="s">
        <v>29</v>
      </c>
    </row>
    <row r="400" spans="1:6" x14ac:dyDescent="0.25">
      <c r="A400" t="str">
        <f>"68435029"</f>
        <v>68435029</v>
      </c>
      <c r="B400" t="s">
        <v>470</v>
      </c>
      <c r="C400" t="s">
        <v>7</v>
      </c>
      <c r="D400" t="str">
        <f t="shared" si="21"/>
        <v>561495</v>
      </c>
      <c r="E400" t="s">
        <v>421</v>
      </c>
      <c r="F400" t="s">
        <v>11</v>
      </c>
    </row>
    <row r="401" spans="1:6" x14ac:dyDescent="0.25">
      <c r="A401" t="str">
        <f>"06500692"</f>
        <v>06500692</v>
      </c>
      <c r="B401" t="s">
        <v>471</v>
      </c>
      <c r="C401" t="s">
        <v>7</v>
      </c>
      <c r="D401" t="str">
        <f t="shared" si="21"/>
        <v>561495</v>
      </c>
      <c r="E401" t="s">
        <v>421</v>
      </c>
      <c r="F401" t="s">
        <v>11</v>
      </c>
    </row>
    <row r="402" spans="1:6" x14ac:dyDescent="0.25">
      <c r="A402" t="str">
        <f>"27008967"</f>
        <v>27008967</v>
      </c>
      <c r="B402" t="s">
        <v>472</v>
      </c>
      <c r="C402" t="s">
        <v>7</v>
      </c>
      <c r="D402" t="str">
        <f t="shared" si="21"/>
        <v>561495</v>
      </c>
      <c r="E402" t="s">
        <v>421</v>
      </c>
      <c r="F402" t="s">
        <v>11</v>
      </c>
    </row>
    <row r="403" spans="1:6" x14ac:dyDescent="0.25">
      <c r="A403" t="str">
        <f>"09500031"</f>
        <v>09500031</v>
      </c>
      <c r="B403" t="s">
        <v>473</v>
      </c>
      <c r="C403" t="s">
        <v>7</v>
      </c>
      <c r="D403" t="str">
        <f t="shared" si="21"/>
        <v>561495</v>
      </c>
      <c r="E403" t="s">
        <v>421</v>
      </c>
      <c r="F403" t="s">
        <v>254</v>
      </c>
    </row>
    <row r="404" spans="1:6" x14ac:dyDescent="0.25">
      <c r="A404" t="str">
        <f>"03941256"</f>
        <v>03941256</v>
      </c>
      <c r="B404" t="s">
        <v>474</v>
      </c>
      <c r="C404" t="s">
        <v>7</v>
      </c>
      <c r="D404" t="str">
        <f t="shared" si="21"/>
        <v>561495</v>
      </c>
      <c r="E404" t="s">
        <v>421</v>
      </c>
      <c r="F404" t="s">
        <v>11</v>
      </c>
    </row>
    <row r="405" spans="1:6" x14ac:dyDescent="0.25">
      <c r="A405" t="str">
        <f>"05419468"</f>
        <v>05419468</v>
      </c>
      <c r="B405" t="s">
        <v>475</v>
      </c>
      <c r="C405" t="s">
        <v>7</v>
      </c>
      <c r="D405" t="str">
        <f t="shared" si="21"/>
        <v>561495</v>
      </c>
      <c r="E405" t="s">
        <v>421</v>
      </c>
      <c r="F405" t="s">
        <v>11</v>
      </c>
    </row>
    <row r="406" spans="1:6" x14ac:dyDescent="0.25">
      <c r="A406" t="str">
        <f>"26581817"</f>
        <v>26581817</v>
      </c>
      <c r="B406" t="s">
        <v>476</v>
      </c>
      <c r="C406" t="s">
        <v>7</v>
      </c>
      <c r="D406" t="str">
        <f t="shared" si="21"/>
        <v>561495</v>
      </c>
      <c r="E406" t="s">
        <v>421</v>
      </c>
      <c r="F406" t="s">
        <v>35</v>
      </c>
    </row>
    <row r="407" spans="1:6" x14ac:dyDescent="0.25">
      <c r="A407" t="str">
        <f>"26631393"</f>
        <v>26631393</v>
      </c>
      <c r="B407" t="s">
        <v>477</v>
      </c>
      <c r="C407" t="s">
        <v>7</v>
      </c>
      <c r="D407" t="str">
        <f t="shared" si="21"/>
        <v>561495</v>
      </c>
      <c r="E407" t="s">
        <v>421</v>
      </c>
      <c r="F407" t="s">
        <v>9</v>
      </c>
    </row>
    <row r="408" spans="1:6" x14ac:dyDescent="0.25">
      <c r="A408" t="str">
        <f>"26655551"</f>
        <v>26655551</v>
      </c>
      <c r="B408" t="s">
        <v>478</v>
      </c>
      <c r="C408" t="s">
        <v>7</v>
      </c>
      <c r="D408" t="str">
        <f t="shared" si="21"/>
        <v>561495</v>
      </c>
      <c r="E408" t="s">
        <v>421</v>
      </c>
      <c r="F408" t="s">
        <v>9</v>
      </c>
    </row>
    <row r="409" spans="1:6" x14ac:dyDescent="0.25">
      <c r="A409" t="str">
        <f>"63778921"</f>
        <v>63778921</v>
      </c>
      <c r="B409" t="s">
        <v>479</v>
      </c>
      <c r="C409" t="s">
        <v>7</v>
      </c>
      <c r="D409" t="str">
        <f t="shared" si="21"/>
        <v>561495</v>
      </c>
      <c r="E409" t="s">
        <v>421</v>
      </c>
      <c r="F409" t="s">
        <v>11</v>
      </c>
    </row>
    <row r="410" spans="1:6" x14ac:dyDescent="0.25">
      <c r="A410" t="str">
        <f>"05111668"</f>
        <v>05111668</v>
      </c>
      <c r="B410" t="s">
        <v>480</v>
      </c>
      <c r="C410" t="s">
        <v>7</v>
      </c>
      <c r="D410" t="str">
        <f t="shared" si="21"/>
        <v>561495</v>
      </c>
      <c r="E410" t="s">
        <v>421</v>
      </c>
      <c r="F410" t="s">
        <v>11</v>
      </c>
    </row>
    <row r="411" spans="1:6" x14ac:dyDescent="0.25">
      <c r="A411" t="str">
        <f>"65650450"</f>
        <v>65650450</v>
      </c>
      <c r="B411" t="s">
        <v>481</v>
      </c>
      <c r="C411" t="s">
        <v>15</v>
      </c>
      <c r="D411" t="str">
        <f t="shared" si="21"/>
        <v>561495</v>
      </c>
      <c r="E411" t="s">
        <v>421</v>
      </c>
      <c r="F411" t="s">
        <v>137</v>
      </c>
    </row>
    <row r="412" spans="1:6" x14ac:dyDescent="0.25">
      <c r="A412" t="str">
        <f>"48282421"</f>
        <v>48282421</v>
      </c>
      <c r="B412" t="s">
        <v>482</v>
      </c>
      <c r="C412" t="s">
        <v>7</v>
      </c>
      <c r="D412" t="str">
        <f t="shared" si="21"/>
        <v>561495</v>
      </c>
      <c r="E412" t="s">
        <v>421</v>
      </c>
      <c r="F412" t="s">
        <v>11</v>
      </c>
    </row>
    <row r="413" spans="1:6" x14ac:dyDescent="0.25">
      <c r="A413" t="str">
        <f>"69388491"</f>
        <v>69388491</v>
      </c>
      <c r="B413" t="s">
        <v>483</v>
      </c>
      <c r="C413" t="s">
        <v>7</v>
      </c>
      <c r="D413" t="str">
        <f t="shared" si="21"/>
        <v>561495</v>
      </c>
      <c r="E413" t="s">
        <v>421</v>
      </c>
      <c r="F413" t="s">
        <v>35</v>
      </c>
    </row>
    <row r="414" spans="1:6" x14ac:dyDescent="0.25">
      <c r="A414" t="str">
        <f>"00525693"</f>
        <v>00525693</v>
      </c>
      <c r="B414" t="s">
        <v>484</v>
      </c>
      <c r="C414" t="s">
        <v>7</v>
      </c>
      <c r="D414" t="str">
        <f t="shared" si="21"/>
        <v>561495</v>
      </c>
      <c r="E414" t="s">
        <v>421</v>
      </c>
      <c r="F414" t="s">
        <v>9</v>
      </c>
    </row>
    <row r="415" spans="1:6" x14ac:dyDescent="0.25">
      <c r="A415" t="str">
        <f>"46750592"</f>
        <v>46750592</v>
      </c>
      <c r="B415" t="s">
        <v>485</v>
      </c>
      <c r="C415" t="s">
        <v>7</v>
      </c>
      <c r="D415" t="str">
        <f t="shared" si="21"/>
        <v>561495</v>
      </c>
      <c r="E415" t="s">
        <v>421</v>
      </c>
      <c r="F415" t="s">
        <v>9</v>
      </c>
    </row>
    <row r="416" spans="1:6" x14ac:dyDescent="0.25">
      <c r="A416" t="str">
        <f>"05774845"</f>
        <v>05774845</v>
      </c>
      <c r="B416" t="s">
        <v>486</v>
      </c>
      <c r="C416" t="s">
        <v>7</v>
      </c>
      <c r="D416" t="str">
        <f t="shared" ref="D416:D423" si="22">"561495"</f>
        <v>561495</v>
      </c>
      <c r="E416" t="s">
        <v>421</v>
      </c>
      <c r="F416" t="s">
        <v>11</v>
      </c>
    </row>
    <row r="417" spans="1:6" x14ac:dyDescent="0.25">
      <c r="A417" t="str">
        <f>"00465861"</f>
        <v>00465861</v>
      </c>
      <c r="B417" t="s">
        <v>487</v>
      </c>
      <c r="C417" t="s">
        <v>15</v>
      </c>
      <c r="D417" t="str">
        <f t="shared" si="22"/>
        <v>561495</v>
      </c>
      <c r="E417" t="s">
        <v>421</v>
      </c>
      <c r="F417" t="s">
        <v>11</v>
      </c>
    </row>
    <row r="418" spans="1:6" x14ac:dyDescent="0.25">
      <c r="A418" t="str">
        <f>"09424008"</f>
        <v>09424008</v>
      </c>
      <c r="B418" t="s">
        <v>488</v>
      </c>
      <c r="C418" t="s">
        <v>7</v>
      </c>
      <c r="D418" t="str">
        <f t="shared" si="22"/>
        <v>561495</v>
      </c>
      <c r="E418" t="s">
        <v>421</v>
      </c>
      <c r="F418" t="s">
        <v>11</v>
      </c>
    </row>
    <row r="419" spans="1:6" x14ac:dyDescent="0.25">
      <c r="A419" t="str">
        <f>"48282375"</f>
        <v>48282375</v>
      </c>
      <c r="B419" t="s">
        <v>489</v>
      </c>
      <c r="C419" t="s">
        <v>7</v>
      </c>
      <c r="D419" t="str">
        <f t="shared" si="22"/>
        <v>561495</v>
      </c>
      <c r="E419" t="s">
        <v>421</v>
      </c>
      <c r="F419" t="s">
        <v>9</v>
      </c>
    </row>
    <row r="420" spans="1:6" x14ac:dyDescent="0.25">
      <c r="A420" t="str">
        <f>"72559969"</f>
        <v>72559969</v>
      </c>
      <c r="B420" t="s">
        <v>490</v>
      </c>
      <c r="C420" t="s">
        <v>15</v>
      </c>
      <c r="D420" t="str">
        <f t="shared" si="22"/>
        <v>561495</v>
      </c>
      <c r="E420" t="s">
        <v>421</v>
      </c>
      <c r="F420" t="s">
        <v>29</v>
      </c>
    </row>
    <row r="421" spans="1:6" x14ac:dyDescent="0.25">
      <c r="A421" t="str">
        <f>"01756664"</f>
        <v>01756664</v>
      </c>
      <c r="B421" t="s">
        <v>491</v>
      </c>
      <c r="C421" t="s">
        <v>15</v>
      </c>
      <c r="D421" t="str">
        <f t="shared" si="22"/>
        <v>561495</v>
      </c>
      <c r="E421" t="s">
        <v>421</v>
      </c>
      <c r="F421" t="s">
        <v>29</v>
      </c>
    </row>
    <row r="422" spans="1:6" x14ac:dyDescent="0.25">
      <c r="A422" t="str">
        <f>"01869311"</f>
        <v>01869311</v>
      </c>
      <c r="B422" t="s">
        <v>492</v>
      </c>
      <c r="C422" t="s">
        <v>20</v>
      </c>
      <c r="D422" t="str">
        <f t="shared" si="22"/>
        <v>561495</v>
      </c>
      <c r="E422" t="s">
        <v>421</v>
      </c>
      <c r="F422" t="s">
        <v>21</v>
      </c>
    </row>
    <row r="423" spans="1:6" x14ac:dyDescent="0.25">
      <c r="A423" t="str">
        <f>"08778400"</f>
        <v>08778400</v>
      </c>
      <c r="B423" t="s">
        <v>493</v>
      </c>
      <c r="C423" t="s">
        <v>7</v>
      </c>
      <c r="D423" t="str">
        <f t="shared" si="22"/>
        <v>561495</v>
      </c>
      <c r="E423" t="s">
        <v>421</v>
      </c>
      <c r="F423" t="s">
        <v>11</v>
      </c>
    </row>
    <row r="424" spans="1:6" x14ac:dyDescent="0.25">
      <c r="A424" t="str">
        <f>"02250306"</f>
        <v>02250306</v>
      </c>
      <c r="B424" t="s">
        <v>494</v>
      </c>
      <c r="C424" t="s">
        <v>78</v>
      </c>
      <c r="D424" t="str">
        <f t="shared" ref="D424:D433" si="23">"563994"</f>
        <v>563994</v>
      </c>
      <c r="E424" t="s">
        <v>495</v>
      </c>
      <c r="F424" t="s">
        <v>496</v>
      </c>
    </row>
    <row r="425" spans="1:6" x14ac:dyDescent="0.25">
      <c r="A425" t="str">
        <f>"27050556"</f>
        <v>27050556</v>
      </c>
      <c r="B425" t="s">
        <v>497</v>
      </c>
      <c r="C425" t="s">
        <v>7</v>
      </c>
      <c r="D425" t="str">
        <f t="shared" si="23"/>
        <v>563994</v>
      </c>
      <c r="E425" t="s">
        <v>495</v>
      </c>
      <c r="F425" t="s">
        <v>424</v>
      </c>
    </row>
    <row r="426" spans="1:6" x14ac:dyDescent="0.25">
      <c r="A426" t="str">
        <f>"22606785"</f>
        <v>22606785</v>
      </c>
      <c r="B426" t="s">
        <v>498</v>
      </c>
      <c r="C426" t="s">
        <v>7</v>
      </c>
      <c r="D426" t="str">
        <f t="shared" si="23"/>
        <v>563994</v>
      </c>
      <c r="E426" t="s">
        <v>495</v>
      </c>
      <c r="F426" t="s">
        <v>35</v>
      </c>
    </row>
    <row r="427" spans="1:6" x14ac:dyDescent="0.25">
      <c r="A427" t="str">
        <f>"11963239"</f>
        <v>11963239</v>
      </c>
      <c r="B427" t="s">
        <v>499</v>
      </c>
      <c r="C427" t="s">
        <v>7</v>
      </c>
      <c r="D427" t="str">
        <f t="shared" si="23"/>
        <v>563994</v>
      </c>
      <c r="E427" t="s">
        <v>495</v>
      </c>
      <c r="F427" t="s">
        <v>29</v>
      </c>
    </row>
    <row r="428" spans="1:6" x14ac:dyDescent="0.25">
      <c r="A428" t="str">
        <f>"01842960"</f>
        <v>01842960</v>
      </c>
      <c r="B428" t="s">
        <v>500</v>
      </c>
      <c r="C428" t="s">
        <v>7</v>
      </c>
      <c r="D428" t="str">
        <f t="shared" si="23"/>
        <v>563994</v>
      </c>
      <c r="E428" t="s">
        <v>495</v>
      </c>
      <c r="F428" t="s">
        <v>38</v>
      </c>
    </row>
    <row r="429" spans="1:6" x14ac:dyDescent="0.25">
      <c r="A429" t="str">
        <f>"22874445"</f>
        <v>22874445</v>
      </c>
      <c r="B429" t="s">
        <v>501</v>
      </c>
      <c r="C429" t="s">
        <v>7</v>
      </c>
      <c r="D429" t="str">
        <f t="shared" si="23"/>
        <v>563994</v>
      </c>
      <c r="E429" t="s">
        <v>495</v>
      </c>
      <c r="F429" t="s">
        <v>62</v>
      </c>
    </row>
    <row r="430" spans="1:6" x14ac:dyDescent="0.25">
      <c r="A430" t="str">
        <f>"49111841"</f>
        <v>49111841</v>
      </c>
      <c r="B430" t="s">
        <v>502</v>
      </c>
      <c r="C430" t="s">
        <v>15</v>
      </c>
      <c r="D430" t="str">
        <f t="shared" si="23"/>
        <v>563994</v>
      </c>
      <c r="E430" t="s">
        <v>495</v>
      </c>
      <c r="F430" t="s">
        <v>16</v>
      </c>
    </row>
    <row r="431" spans="1:6" x14ac:dyDescent="0.25">
      <c r="A431" t="str">
        <f>"26995247"</f>
        <v>26995247</v>
      </c>
      <c r="B431" t="s">
        <v>503</v>
      </c>
      <c r="C431" t="s">
        <v>7</v>
      </c>
      <c r="D431" t="str">
        <f t="shared" si="23"/>
        <v>563994</v>
      </c>
      <c r="E431" t="s">
        <v>495</v>
      </c>
      <c r="F431" t="s">
        <v>9</v>
      </c>
    </row>
    <row r="432" spans="1:6" x14ac:dyDescent="0.25">
      <c r="A432" t="str">
        <f>"22893016"</f>
        <v>22893016</v>
      </c>
      <c r="B432" t="s">
        <v>504</v>
      </c>
      <c r="C432" t="s">
        <v>7</v>
      </c>
      <c r="D432" t="str">
        <f t="shared" si="23"/>
        <v>563994</v>
      </c>
      <c r="E432" t="s">
        <v>495</v>
      </c>
      <c r="F432" t="s">
        <v>11</v>
      </c>
    </row>
    <row r="433" spans="1:6" x14ac:dyDescent="0.25">
      <c r="A433" t="str">
        <f>"46747010"</f>
        <v>46747010</v>
      </c>
      <c r="B433" t="s">
        <v>505</v>
      </c>
      <c r="C433" t="s">
        <v>7</v>
      </c>
      <c r="D433" t="str">
        <f t="shared" si="23"/>
        <v>563994</v>
      </c>
      <c r="E433" t="s">
        <v>495</v>
      </c>
      <c r="F433" t="s">
        <v>9</v>
      </c>
    </row>
    <row r="434" spans="1:6" x14ac:dyDescent="0.25">
      <c r="A434" t="str">
        <f>"75124092"</f>
        <v>75124092</v>
      </c>
      <c r="B434" t="s">
        <v>506</v>
      </c>
      <c r="C434" t="s">
        <v>15</v>
      </c>
      <c r="D434" t="str">
        <f t="shared" ref="D434:D441" si="24">"563561"</f>
        <v>563561</v>
      </c>
      <c r="E434" t="s">
        <v>507</v>
      </c>
      <c r="F434" t="s">
        <v>29</v>
      </c>
    </row>
    <row r="435" spans="1:6" x14ac:dyDescent="0.25">
      <c r="A435" t="str">
        <f>"22302468"</f>
        <v>22302468</v>
      </c>
      <c r="B435" t="s">
        <v>508</v>
      </c>
      <c r="C435" t="s">
        <v>7</v>
      </c>
      <c r="D435" t="str">
        <f t="shared" si="24"/>
        <v>563561</v>
      </c>
      <c r="E435" t="s">
        <v>507</v>
      </c>
      <c r="F435" t="s">
        <v>62</v>
      </c>
    </row>
    <row r="436" spans="1:6" x14ac:dyDescent="0.25">
      <c r="A436" t="str">
        <f>"43256406"</f>
        <v>43256406</v>
      </c>
      <c r="B436" t="s">
        <v>509</v>
      </c>
      <c r="C436" t="s">
        <v>37</v>
      </c>
      <c r="D436" t="str">
        <f t="shared" si="24"/>
        <v>563561</v>
      </c>
      <c r="E436" t="s">
        <v>507</v>
      </c>
      <c r="F436" t="s">
        <v>38</v>
      </c>
    </row>
    <row r="437" spans="1:6" x14ac:dyDescent="0.25">
      <c r="A437" t="str">
        <f>"43257623"</f>
        <v>43257623</v>
      </c>
      <c r="B437" t="s">
        <v>510</v>
      </c>
      <c r="C437" t="s">
        <v>7</v>
      </c>
      <c r="D437" t="str">
        <f t="shared" si="24"/>
        <v>563561</v>
      </c>
      <c r="E437" t="s">
        <v>507</v>
      </c>
      <c r="F437" t="s">
        <v>38</v>
      </c>
    </row>
    <row r="438" spans="1:6" x14ac:dyDescent="0.25">
      <c r="A438" t="str">
        <f>"22730613"</f>
        <v>22730613</v>
      </c>
      <c r="B438" t="s">
        <v>511</v>
      </c>
      <c r="C438" t="s">
        <v>7</v>
      </c>
      <c r="D438" t="str">
        <f t="shared" si="24"/>
        <v>563561</v>
      </c>
      <c r="E438" t="s">
        <v>507</v>
      </c>
      <c r="F438" t="s">
        <v>139</v>
      </c>
    </row>
    <row r="439" spans="1:6" x14ac:dyDescent="0.25">
      <c r="A439" t="str">
        <f>"02240165"</f>
        <v>02240165</v>
      </c>
      <c r="B439" t="s">
        <v>512</v>
      </c>
      <c r="C439" t="s">
        <v>7</v>
      </c>
      <c r="D439" t="str">
        <f t="shared" si="24"/>
        <v>563561</v>
      </c>
      <c r="E439" t="s">
        <v>507</v>
      </c>
      <c r="F439" t="s">
        <v>11</v>
      </c>
    </row>
    <row r="440" spans="1:6" x14ac:dyDescent="0.25">
      <c r="A440" t="str">
        <f>"18382843"</f>
        <v>18382843</v>
      </c>
      <c r="B440" t="s">
        <v>513</v>
      </c>
      <c r="C440" t="s">
        <v>15</v>
      </c>
      <c r="D440" t="str">
        <f t="shared" si="24"/>
        <v>563561</v>
      </c>
      <c r="E440" t="s">
        <v>507</v>
      </c>
      <c r="F440" t="s">
        <v>16</v>
      </c>
    </row>
    <row r="441" spans="1:6" x14ac:dyDescent="0.25">
      <c r="A441" t="str">
        <f>"16389417"</f>
        <v>16389417</v>
      </c>
      <c r="B441" t="s">
        <v>514</v>
      </c>
      <c r="C441" t="s">
        <v>7</v>
      </c>
      <c r="D441" t="str">
        <f t="shared" si="24"/>
        <v>563561</v>
      </c>
      <c r="E441" t="s">
        <v>507</v>
      </c>
      <c r="F441" t="s">
        <v>9</v>
      </c>
    </row>
    <row r="442" spans="1:6" x14ac:dyDescent="0.25">
      <c r="A442" t="str">
        <f>"62237357"</f>
        <v>62237357</v>
      </c>
      <c r="B442" t="s">
        <v>515</v>
      </c>
      <c r="C442" t="s">
        <v>15</v>
      </c>
      <c r="D442" t="str">
        <f>"561541"</f>
        <v>561541</v>
      </c>
      <c r="E442" t="s">
        <v>516</v>
      </c>
      <c r="F442" t="s">
        <v>29</v>
      </c>
    </row>
    <row r="443" spans="1:6" x14ac:dyDescent="0.25">
      <c r="A443" t="str">
        <f>"19836350"</f>
        <v>19836350</v>
      </c>
      <c r="B443" t="s">
        <v>517</v>
      </c>
      <c r="C443" t="s">
        <v>7</v>
      </c>
      <c r="D443" t="str">
        <f>"561541"</f>
        <v>561541</v>
      </c>
      <c r="E443" t="s">
        <v>516</v>
      </c>
      <c r="F443" t="s">
        <v>11</v>
      </c>
    </row>
    <row r="444" spans="1:6" x14ac:dyDescent="0.25">
      <c r="A444" t="str">
        <f>"03720772"</f>
        <v>03720772</v>
      </c>
      <c r="B444" t="s">
        <v>518</v>
      </c>
      <c r="C444" t="s">
        <v>37</v>
      </c>
      <c r="D444" t="str">
        <f>"561541"</f>
        <v>561541</v>
      </c>
      <c r="E444" t="s">
        <v>516</v>
      </c>
      <c r="F444" t="s">
        <v>38</v>
      </c>
    </row>
    <row r="445" spans="1:6" x14ac:dyDescent="0.25">
      <c r="A445" t="str">
        <f>"46750797"</f>
        <v>46750797</v>
      </c>
      <c r="B445" t="s">
        <v>519</v>
      </c>
      <c r="C445" t="s">
        <v>7</v>
      </c>
      <c r="D445" t="str">
        <f>"561541"</f>
        <v>561541</v>
      </c>
      <c r="E445" t="s">
        <v>516</v>
      </c>
      <c r="F445" t="s">
        <v>38</v>
      </c>
    </row>
    <row r="446" spans="1:6" x14ac:dyDescent="0.25">
      <c r="A446" t="str">
        <f>"48282685"</f>
        <v>48282685</v>
      </c>
      <c r="B446" t="s">
        <v>520</v>
      </c>
      <c r="C446" t="s">
        <v>7</v>
      </c>
      <c r="D446" t="str">
        <f>"561541"</f>
        <v>561541</v>
      </c>
      <c r="E446" t="s">
        <v>516</v>
      </c>
      <c r="F446" t="s">
        <v>9</v>
      </c>
    </row>
    <row r="447" spans="1:6" x14ac:dyDescent="0.25">
      <c r="A447" t="str">
        <f>"00482013"</f>
        <v>00482013</v>
      </c>
      <c r="B447" t="s">
        <v>521</v>
      </c>
      <c r="C447" t="s">
        <v>15</v>
      </c>
      <c r="D447" t="str">
        <f t="shared" ref="D447:D480" si="25">"561533"</f>
        <v>561533</v>
      </c>
      <c r="E447" t="s">
        <v>522</v>
      </c>
      <c r="F447" t="s">
        <v>9</v>
      </c>
    </row>
    <row r="448" spans="1:6" x14ac:dyDescent="0.25">
      <c r="A448" t="str">
        <f>"00482510"</f>
        <v>00482510</v>
      </c>
      <c r="B448" t="s">
        <v>523</v>
      </c>
      <c r="C448" t="s">
        <v>15</v>
      </c>
      <c r="D448" t="str">
        <f t="shared" si="25"/>
        <v>561533</v>
      </c>
      <c r="E448" t="s">
        <v>522</v>
      </c>
      <c r="F448" t="s">
        <v>29</v>
      </c>
    </row>
    <row r="449" spans="1:6" x14ac:dyDescent="0.25">
      <c r="A449" t="str">
        <f>"26591511"</f>
        <v>26591511</v>
      </c>
      <c r="B449" t="s">
        <v>524</v>
      </c>
      <c r="C449" t="s">
        <v>7</v>
      </c>
      <c r="D449" t="str">
        <f t="shared" si="25"/>
        <v>561533</v>
      </c>
      <c r="E449" t="s">
        <v>522</v>
      </c>
      <c r="F449" t="s">
        <v>326</v>
      </c>
    </row>
    <row r="450" spans="1:6" x14ac:dyDescent="0.25">
      <c r="A450" t="str">
        <f>"26651351"</f>
        <v>26651351</v>
      </c>
      <c r="B450" t="s">
        <v>525</v>
      </c>
      <c r="C450" t="s">
        <v>7</v>
      </c>
      <c r="D450" t="str">
        <f t="shared" si="25"/>
        <v>561533</v>
      </c>
      <c r="E450" t="s">
        <v>522</v>
      </c>
      <c r="F450" t="s">
        <v>11</v>
      </c>
    </row>
    <row r="451" spans="1:6" x14ac:dyDescent="0.25">
      <c r="A451" t="str">
        <f>"68974442"</f>
        <v>68974442</v>
      </c>
      <c r="B451" t="s">
        <v>526</v>
      </c>
      <c r="C451" t="s">
        <v>7</v>
      </c>
      <c r="D451" t="str">
        <f t="shared" si="25"/>
        <v>561533</v>
      </c>
      <c r="E451" t="s">
        <v>522</v>
      </c>
      <c r="F451" t="s">
        <v>11</v>
      </c>
    </row>
    <row r="452" spans="1:6" x14ac:dyDescent="0.25">
      <c r="A452" t="str">
        <f>"70901210"</f>
        <v>70901210</v>
      </c>
      <c r="B452" t="s">
        <v>527</v>
      </c>
      <c r="C452" t="s">
        <v>37</v>
      </c>
      <c r="D452" t="str">
        <f t="shared" si="25"/>
        <v>561533</v>
      </c>
      <c r="E452" t="s">
        <v>522</v>
      </c>
      <c r="F452" t="s">
        <v>38</v>
      </c>
    </row>
    <row r="453" spans="1:6" x14ac:dyDescent="0.25">
      <c r="A453" t="str">
        <f>"71183370"</f>
        <v>71183370</v>
      </c>
      <c r="B453" t="s">
        <v>528</v>
      </c>
      <c r="C453" t="s">
        <v>37</v>
      </c>
      <c r="D453" t="str">
        <f t="shared" si="25"/>
        <v>561533</v>
      </c>
      <c r="E453" t="s">
        <v>522</v>
      </c>
      <c r="F453" t="s">
        <v>38</v>
      </c>
    </row>
    <row r="454" spans="1:6" x14ac:dyDescent="0.25">
      <c r="A454" t="str">
        <f>"68435690"</f>
        <v>68435690</v>
      </c>
      <c r="B454" t="s">
        <v>529</v>
      </c>
      <c r="C454" t="s">
        <v>7</v>
      </c>
      <c r="D454" t="str">
        <f t="shared" si="25"/>
        <v>561533</v>
      </c>
      <c r="E454" t="s">
        <v>522</v>
      </c>
      <c r="F454" t="s">
        <v>65</v>
      </c>
    </row>
    <row r="455" spans="1:6" x14ac:dyDescent="0.25">
      <c r="A455" t="str">
        <f>"02424975"</f>
        <v>02424975</v>
      </c>
      <c r="B455" t="s">
        <v>530</v>
      </c>
      <c r="C455" t="s">
        <v>7</v>
      </c>
      <c r="D455" t="str">
        <f t="shared" si="25"/>
        <v>561533</v>
      </c>
      <c r="E455" t="s">
        <v>522</v>
      </c>
      <c r="F455" t="s">
        <v>29</v>
      </c>
    </row>
    <row r="456" spans="1:6" x14ac:dyDescent="0.25">
      <c r="A456" t="str">
        <f>"22836802"</f>
        <v>22836802</v>
      </c>
      <c r="B456" t="s">
        <v>531</v>
      </c>
      <c r="C456" t="s">
        <v>7</v>
      </c>
      <c r="D456" t="str">
        <f t="shared" si="25"/>
        <v>561533</v>
      </c>
      <c r="E456" t="s">
        <v>522</v>
      </c>
      <c r="F456" t="s">
        <v>11</v>
      </c>
    </row>
    <row r="457" spans="1:6" x14ac:dyDescent="0.25">
      <c r="A457" t="str">
        <f>"26538270"</f>
        <v>26538270</v>
      </c>
      <c r="B457" t="s">
        <v>532</v>
      </c>
      <c r="C457" t="s">
        <v>7</v>
      </c>
      <c r="D457" t="str">
        <f t="shared" si="25"/>
        <v>561533</v>
      </c>
      <c r="E457" t="s">
        <v>522</v>
      </c>
      <c r="F457" t="s">
        <v>38</v>
      </c>
    </row>
    <row r="458" spans="1:6" x14ac:dyDescent="0.25">
      <c r="A458" t="str">
        <f>"26558963"</f>
        <v>26558963</v>
      </c>
      <c r="B458" t="s">
        <v>533</v>
      </c>
      <c r="C458" t="s">
        <v>7</v>
      </c>
      <c r="D458" t="str">
        <f t="shared" si="25"/>
        <v>561533</v>
      </c>
      <c r="E458" t="s">
        <v>522</v>
      </c>
      <c r="F458" t="s">
        <v>38</v>
      </c>
    </row>
    <row r="459" spans="1:6" x14ac:dyDescent="0.25">
      <c r="A459" t="str">
        <f>"48282146"</f>
        <v>48282146</v>
      </c>
      <c r="B459" t="s">
        <v>534</v>
      </c>
      <c r="C459" t="s">
        <v>7</v>
      </c>
      <c r="D459" t="str">
        <f t="shared" si="25"/>
        <v>561533</v>
      </c>
      <c r="E459" t="s">
        <v>522</v>
      </c>
      <c r="F459" t="s">
        <v>38</v>
      </c>
    </row>
    <row r="460" spans="1:6" x14ac:dyDescent="0.25">
      <c r="A460" t="str">
        <f>"48282090"</f>
        <v>48282090</v>
      </c>
      <c r="B460" t="s">
        <v>535</v>
      </c>
      <c r="C460" t="s">
        <v>7</v>
      </c>
      <c r="D460" t="str">
        <f t="shared" si="25"/>
        <v>561533</v>
      </c>
      <c r="E460" t="s">
        <v>522</v>
      </c>
      <c r="F460" t="s">
        <v>38</v>
      </c>
    </row>
    <row r="461" spans="1:6" x14ac:dyDescent="0.25">
      <c r="A461" t="str">
        <f>"70808660"</f>
        <v>70808660</v>
      </c>
      <c r="B461" t="s">
        <v>536</v>
      </c>
      <c r="C461" t="s">
        <v>7</v>
      </c>
      <c r="D461" t="str">
        <f t="shared" si="25"/>
        <v>561533</v>
      </c>
      <c r="E461" t="s">
        <v>522</v>
      </c>
      <c r="F461" t="s">
        <v>11</v>
      </c>
    </row>
    <row r="462" spans="1:6" x14ac:dyDescent="0.25">
      <c r="A462" t="str">
        <f>"21012466"</f>
        <v>21012466</v>
      </c>
      <c r="B462" t="s">
        <v>537</v>
      </c>
      <c r="C462" t="s">
        <v>7</v>
      </c>
      <c r="D462" t="str">
        <f t="shared" si="25"/>
        <v>561533</v>
      </c>
      <c r="E462" t="s">
        <v>522</v>
      </c>
      <c r="F462" t="s">
        <v>29</v>
      </c>
    </row>
    <row r="463" spans="1:6" x14ac:dyDescent="0.25">
      <c r="A463" t="str">
        <f>"49864297"</f>
        <v>49864297</v>
      </c>
      <c r="B463" t="s">
        <v>538</v>
      </c>
      <c r="C463" t="s">
        <v>7</v>
      </c>
      <c r="D463" t="str">
        <f t="shared" si="25"/>
        <v>561533</v>
      </c>
      <c r="E463" t="s">
        <v>522</v>
      </c>
      <c r="F463" t="s">
        <v>11</v>
      </c>
    </row>
    <row r="464" spans="1:6" x14ac:dyDescent="0.25">
      <c r="A464" t="str">
        <f>"26609801"</f>
        <v>26609801</v>
      </c>
      <c r="B464" t="s">
        <v>539</v>
      </c>
      <c r="C464" t="s">
        <v>7</v>
      </c>
      <c r="D464" t="str">
        <f t="shared" si="25"/>
        <v>561533</v>
      </c>
      <c r="E464" t="s">
        <v>522</v>
      </c>
      <c r="F464" t="s">
        <v>11</v>
      </c>
    </row>
    <row r="465" spans="1:6" x14ac:dyDescent="0.25">
      <c r="A465" t="str">
        <f>"49864076"</f>
        <v>49864076</v>
      </c>
      <c r="B465" t="s">
        <v>540</v>
      </c>
      <c r="C465" t="s">
        <v>43</v>
      </c>
      <c r="D465" t="str">
        <f t="shared" si="25"/>
        <v>561533</v>
      </c>
      <c r="E465" t="s">
        <v>522</v>
      </c>
      <c r="F465" t="s">
        <v>44</v>
      </c>
    </row>
    <row r="466" spans="1:6" x14ac:dyDescent="0.25">
      <c r="A466" t="str">
        <f>"63778092"</f>
        <v>63778092</v>
      </c>
      <c r="B466" t="s">
        <v>541</v>
      </c>
      <c r="C466" t="s">
        <v>43</v>
      </c>
      <c r="D466" t="str">
        <f t="shared" si="25"/>
        <v>561533</v>
      </c>
      <c r="E466" t="s">
        <v>522</v>
      </c>
      <c r="F466" t="s">
        <v>44</v>
      </c>
    </row>
    <row r="467" spans="1:6" x14ac:dyDescent="0.25">
      <c r="A467" t="str">
        <f>"62237977"</f>
        <v>62237977</v>
      </c>
      <c r="B467" t="s">
        <v>542</v>
      </c>
      <c r="C467" t="s">
        <v>43</v>
      </c>
      <c r="D467" t="str">
        <f t="shared" si="25"/>
        <v>561533</v>
      </c>
      <c r="E467" t="s">
        <v>522</v>
      </c>
      <c r="F467" t="s">
        <v>44</v>
      </c>
    </row>
    <row r="468" spans="1:6" x14ac:dyDescent="0.25">
      <c r="A468" t="str">
        <f>"63778106"</f>
        <v>63778106</v>
      </c>
      <c r="B468" t="s">
        <v>543</v>
      </c>
      <c r="C468" t="s">
        <v>43</v>
      </c>
      <c r="D468" t="str">
        <f t="shared" si="25"/>
        <v>561533</v>
      </c>
      <c r="E468" t="s">
        <v>522</v>
      </c>
      <c r="F468" t="s">
        <v>44</v>
      </c>
    </row>
    <row r="469" spans="1:6" x14ac:dyDescent="0.25">
      <c r="A469" t="str">
        <f>"48282405"</f>
        <v>48282405</v>
      </c>
      <c r="B469" t="s">
        <v>544</v>
      </c>
      <c r="C469" t="s">
        <v>43</v>
      </c>
      <c r="D469" t="str">
        <f t="shared" si="25"/>
        <v>561533</v>
      </c>
      <c r="E469" t="s">
        <v>522</v>
      </c>
      <c r="F469" t="s">
        <v>44</v>
      </c>
    </row>
    <row r="470" spans="1:6" x14ac:dyDescent="0.25">
      <c r="A470" t="str">
        <f>"63778114"</f>
        <v>63778114</v>
      </c>
      <c r="B470" t="s">
        <v>545</v>
      </c>
      <c r="C470" t="s">
        <v>43</v>
      </c>
      <c r="D470" t="str">
        <f t="shared" si="25"/>
        <v>561533</v>
      </c>
      <c r="E470" t="s">
        <v>522</v>
      </c>
      <c r="F470" t="s">
        <v>44</v>
      </c>
    </row>
    <row r="471" spans="1:6" x14ac:dyDescent="0.25">
      <c r="A471" t="str">
        <f>"63778122"</f>
        <v>63778122</v>
      </c>
      <c r="B471" t="s">
        <v>546</v>
      </c>
      <c r="C471" t="s">
        <v>43</v>
      </c>
      <c r="D471" t="str">
        <f t="shared" si="25"/>
        <v>561533</v>
      </c>
      <c r="E471" t="s">
        <v>522</v>
      </c>
      <c r="F471" t="s">
        <v>44</v>
      </c>
    </row>
    <row r="472" spans="1:6" x14ac:dyDescent="0.25">
      <c r="A472" t="str">
        <f>"63778084"</f>
        <v>63778084</v>
      </c>
      <c r="B472" t="s">
        <v>547</v>
      </c>
      <c r="C472" t="s">
        <v>43</v>
      </c>
      <c r="D472" t="str">
        <f t="shared" si="25"/>
        <v>561533</v>
      </c>
      <c r="E472" t="s">
        <v>522</v>
      </c>
      <c r="F472" t="s">
        <v>44</v>
      </c>
    </row>
    <row r="473" spans="1:6" x14ac:dyDescent="0.25">
      <c r="A473" t="str">
        <f>"62237985"</f>
        <v>62237985</v>
      </c>
      <c r="B473" t="s">
        <v>548</v>
      </c>
      <c r="C473" t="s">
        <v>43</v>
      </c>
      <c r="D473" t="str">
        <f t="shared" si="25"/>
        <v>561533</v>
      </c>
      <c r="E473" t="s">
        <v>522</v>
      </c>
      <c r="F473" t="s">
        <v>44</v>
      </c>
    </row>
    <row r="474" spans="1:6" x14ac:dyDescent="0.25">
      <c r="A474" t="str">
        <f>"69898251"</f>
        <v>69898251</v>
      </c>
      <c r="B474" t="s">
        <v>549</v>
      </c>
      <c r="C474" t="s">
        <v>7</v>
      </c>
      <c r="D474" t="str">
        <f t="shared" si="25"/>
        <v>561533</v>
      </c>
      <c r="E474" t="s">
        <v>522</v>
      </c>
      <c r="F474" t="s">
        <v>254</v>
      </c>
    </row>
    <row r="475" spans="1:6" x14ac:dyDescent="0.25">
      <c r="A475" t="str">
        <f>"70822123"</f>
        <v>70822123</v>
      </c>
      <c r="B475" t="s">
        <v>550</v>
      </c>
      <c r="C475" t="s">
        <v>7</v>
      </c>
      <c r="D475" t="str">
        <f t="shared" si="25"/>
        <v>561533</v>
      </c>
      <c r="E475" t="s">
        <v>522</v>
      </c>
      <c r="F475" t="s">
        <v>11</v>
      </c>
    </row>
    <row r="476" spans="1:6" x14ac:dyDescent="0.25">
      <c r="A476" t="str">
        <f>"22866213"</f>
        <v>22866213</v>
      </c>
      <c r="B476" t="s">
        <v>551</v>
      </c>
      <c r="C476" t="s">
        <v>7</v>
      </c>
      <c r="D476" t="str">
        <f t="shared" si="25"/>
        <v>561533</v>
      </c>
      <c r="E476" t="s">
        <v>522</v>
      </c>
      <c r="F476" t="s">
        <v>13</v>
      </c>
    </row>
    <row r="477" spans="1:6" x14ac:dyDescent="0.25">
      <c r="A477" t="str">
        <f>"71182403"</f>
        <v>71182403</v>
      </c>
      <c r="B477" t="s">
        <v>552</v>
      </c>
      <c r="C477" t="s">
        <v>15</v>
      </c>
      <c r="D477" t="str">
        <f t="shared" si="25"/>
        <v>561533</v>
      </c>
      <c r="E477" t="s">
        <v>522</v>
      </c>
      <c r="F477" t="s">
        <v>16</v>
      </c>
    </row>
    <row r="478" spans="1:6" x14ac:dyDescent="0.25">
      <c r="A478" t="str">
        <f>"48282456"</f>
        <v>48282456</v>
      </c>
      <c r="B478" t="s">
        <v>553</v>
      </c>
      <c r="C478" t="s">
        <v>7</v>
      </c>
      <c r="D478" t="str">
        <f t="shared" si="25"/>
        <v>561533</v>
      </c>
      <c r="E478" t="s">
        <v>522</v>
      </c>
      <c r="F478" t="s">
        <v>9</v>
      </c>
    </row>
    <row r="479" spans="1:6" x14ac:dyDescent="0.25">
      <c r="A479" t="str">
        <f>"46750606"</f>
        <v>46750606</v>
      </c>
      <c r="B479" t="s">
        <v>554</v>
      </c>
      <c r="C479" t="s">
        <v>7</v>
      </c>
      <c r="D479" t="str">
        <f t="shared" si="25"/>
        <v>561533</v>
      </c>
      <c r="E479" t="s">
        <v>522</v>
      </c>
      <c r="F479" t="s">
        <v>9</v>
      </c>
    </row>
    <row r="480" spans="1:6" x14ac:dyDescent="0.25">
      <c r="A480" t="str">
        <f>"49864157"</f>
        <v>49864157</v>
      </c>
      <c r="B480" t="s">
        <v>555</v>
      </c>
      <c r="C480" t="s">
        <v>7</v>
      </c>
      <c r="D480" t="str">
        <f t="shared" si="25"/>
        <v>561533</v>
      </c>
      <c r="E480" t="s">
        <v>522</v>
      </c>
      <c r="F480" t="s">
        <v>9</v>
      </c>
    </row>
    <row r="481" spans="1:6" x14ac:dyDescent="0.25">
      <c r="A481" t="str">
        <f>"05840066"</f>
        <v>05840066</v>
      </c>
      <c r="B481" t="s">
        <v>556</v>
      </c>
      <c r="C481" t="s">
        <v>7</v>
      </c>
      <c r="D481" t="str">
        <f t="shared" ref="D481:D486" si="26">"546607"</f>
        <v>546607</v>
      </c>
      <c r="E481" t="s">
        <v>557</v>
      </c>
      <c r="F481" t="s">
        <v>13</v>
      </c>
    </row>
    <row r="482" spans="1:6" x14ac:dyDescent="0.25">
      <c r="A482" t="str">
        <f>"46745327"</f>
        <v>46745327</v>
      </c>
      <c r="B482" t="s">
        <v>558</v>
      </c>
      <c r="C482" t="s">
        <v>37</v>
      </c>
      <c r="D482" t="str">
        <f t="shared" si="26"/>
        <v>546607</v>
      </c>
      <c r="E482" t="s">
        <v>557</v>
      </c>
      <c r="F482" t="s">
        <v>38</v>
      </c>
    </row>
    <row r="483" spans="1:6" x14ac:dyDescent="0.25">
      <c r="A483" t="str">
        <f>"21365482"</f>
        <v>21365482</v>
      </c>
      <c r="B483" t="s">
        <v>559</v>
      </c>
      <c r="C483" t="s">
        <v>7</v>
      </c>
      <c r="D483" t="str">
        <f t="shared" si="26"/>
        <v>546607</v>
      </c>
      <c r="E483" t="s">
        <v>557</v>
      </c>
      <c r="F483" t="s">
        <v>13</v>
      </c>
    </row>
    <row r="484" spans="1:6" x14ac:dyDescent="0.25">
      <c r="A484" t="str">
        <f>"27001440"</f>
        <v>27001440</v>
      </c>
      <c r="B484" t="s">
        <v>560</v>
      </c>
      <c r="C484" t="s">
        <v>7</v>
      </c>
      <c r="D484" t="str">
        <f t="shared" si="26"/>
        <v>546607</v>
      </c>
      <c r="E484" t="s">
        <v>557</v>
      </c>
      <c r="F484" t="s">
        <v>11</v>
      </c>
    </row>
    <row r="485" spans="1:6" x14ac:dyDescent="0.25">
      <c r="A485" t="str">
        <f>"49111884"</f>
        <v>49111884</v>
      </c>
      <c r="B485" t="s">
        <v>561</v>
      </c>
      <c r="C485" t="s">
        <v>15</v>
      </c>
      <c r="D485" t="str">
        <f t="shared" si="26"/>
        <v>546607</v>
      </c>
      <c r="E485" t="s">
        <v>557</v>
      </c>
      <c r="F485" t="s">
        <v>16</v>
      </c>
    </row>
    <row r="486" spans="1:6" x14ac:dyDescent="0.25">
      <c r="A486" t="str">
        <f>"46744631"</f>
        <v>46744631</v>
      </c>
      <c r="B486" t="s">
        <v>562</v>
      </c>
      <c r="C486" t="s">
        <v>7</v>
      </c>
      <c r="D486" t="str">
        <f t="shared" si="26"/>
        <v>546607</v>
      </c>
      <c r="E486" t="s">
        <v>557</v>
      </c>
      <c r="F486" t="s">
        <v>9</v>
      </c>
    </row>
    <row r="487" spans="1:6" x14ac:dyDescent="0.25">
      <c r="A487" t="str">
        <f>"26605511"</f>
        <v>26605511</v>
      </c>
      <c r="B487" t="s">
        <v>563</v>
      </c>
      <c r="C487" t="s">
        <v>7</v>
      </c>
      <c r="D487" t="str">
        <f t="shared" ref="D487:D518" si="27">"564028"</f>
        <v>564028</v>
      </c>
      <c r="E487" t="s">
        <v>564</v>
      </c>
      <c r="F487" t="s">
        <v>11</v>
      </c>
    </row>
    <row r="488" spans="1:6" x14ac:dyDescent="0.25">
      <c r="A488" t="str">
        <f>"22800182"</f>
        <v>22800182</v>
      </c>
      <c r="B488" t="s">
        <v>565</v>
      </c>
      <c r="C488" t="s">
        <v>78</v>
      </c>
      <c r="D488" t="str">
        <f t="shared" si="27"/>
        <v>564028</v>
      </c>
      <c r="E488" t="s">
        <v>564</v>
      </c>
      <c r="F488" t="s">
        <v>13</v>
      </c>
    </row>
    <row r="489" spans="1:6" x14ac:dyDescent="0.25">
      <c r="A489" t="str">
        <f>"72058609"</f>
        <v>72058609</v>
      </c>
      <c r="B489" t="s">
        <v>566</v>
      </c>
      <c r="C489" t="s">
        <v>15</v>
      </c>
      <c r="D489" t="str">
        <f t="shared" si="27"/>
        <v>564028</v>
      </c>
      <c r="E489" t="s">
        <v>564</v>
      </c>
      <c r="F489" t="s">
        <v>65</v>
      </c>
    </row>
    <row r="490" spans="1:6" x14ac:dyDescent="0.25">
      <c r="A490" t="str">
        <f>"04695909"</f>
        <v>04695909</v>
      </c>
      <c r="B490" t="s">
        <v>567</v>
      </c>
      <c r="C490" t="s">
        <v>7</v>
      </c>
      <c r="D490" t="str">
        <f t="shared" si="27"/>
        <v>564028</v>
      </c>
      <c r="E490" t="s">
        <v>564</v>
      </c>
      <c r="F490" t="s">
        <v>29</v>
      </c>
    </row>
    <row r="491" spans="1:6" x14ac:dyDescent="0.25">
      <c r="A491" t="str">
        <f>"46748008"</f>
        <v>46748008</v>
      </c>
      <c r="B491" t="s">
        <v>568</v>
      </c>
      <c r="C491" t="s">
        <v>7</v>
      </c>
      <c r="D491" t="str">
        <f t="shared" si="27"/>
        <v>564028</v>
      </c>
      <c r="E491" t="s">
        <v>564</v>
      </c>
      <c r="F491" t="s">
        <v>11</v>
      </c>
    </row>
    <row r="492" spans="1:6" x14ac:dyDescent="0.25">
      <c r="A492" t="str">
        <f>"06314872"</f>
        <v>06314872</v>
      </c>
      <c r="B492" t="s">
        <v>569</v>
      </c>
      <c r="C492" t="s">
        <v>7</v>
      </c>
      <c r="D492" t="str">
        <f t="shared" si="27"/>
        <v>564028</v>
      </c>
      <c r="E492" t="s">
        <v>564</v>
      </c>
      <c r="F492" t="s">
        <v>11</v>
      </c>
    </row>
    <row r="493" spans="1:6" x14ac:dyDescent="0.25">
      <c r="A493" t="str">
        <f>"04619447"</f>
        <v>04619447</v>
      </c>
      <c r="B493" t="s">
        <v>570</v>
      </c>
      <c r="C493" t="s">
        <v>7</v>
      </c>
      <c r="D493" t="str">
        <f t="shared" si="27"/>
        <v>564028</v>
      </c>
      <c r="E493" t="s">
        <v>564</v>
      </c>
      <c r="F493" t="s">
        <v>65</v>
      </c>
    </row>
    <row r="494" spans="1:6" x14ac:dyDescent="0.25">
      <c r="A494" t="str">
        <f>"09756248"</f>
        <v>09756248</v>
      </c>
      <c r="B494" t="s">
        <v>571</v>
      </c>
      <c r="C494" t="s">
        <v>7</v>
      </c>
      <c r="D494" t="str">
        <f t="shared" si="27"/>
        <v>564028</v>
      </c>
      <c r="E494" t="s">
        <v>564</v>
      </c>
      <c r="F494" t="s">
        <v>29</v>
      </c>
    </row>
    <row r="495" spans="1:6" x14ac:dyDescent="0.25">
      <c r="A495" t="str">
        <f>"00482536"</f>
        <v>00482536</v>
      </c>
      <c r="B495" t="s">
        <v>572</v>
      </c>
      <c r="C495" t="s">
        <v>15</v>
      </c>
      <c r="D495" t="str">
        <f t="shared" si="27"/>
        <v>564028</v>
      </c>
      <c r="E495" t="s">
        <v>564</v>
      </c>
      <c r="F495" t="s">
        <v>11</v>
      </c>
    </row>
    <row r="496" spans="1:6" x14ac:dyDescent="0.25">
      <c r="A496" t="str">
        <f>"00448508"</f>
        <v>00448508</v>
      </c>
      <c r="B496" t="s">
        <v>573</v>
      </c>
      <c r="C496" t="s">
        <v>15</v>
      </c>
      <c r="D496" t="str">
        <f t="shared" si="27"/>
        <v>564028</v>
      </c>
      <c r="E496" t="s">
        <v>564</v>
      </c>
      <c r="F496" t="s">
        <v>29</v>
      </c>
    </row>
    <row r="497" spans="1:6" x14ac:dyDescent="0.25">
      <c r="A497" t="str">
        <f>"46747117"</f>
        <v>46747117</v>
      </c>
      <c r="B497" t="s">
        <v>574</v>
      </c>
      <c r="C497" t="s">
        <v>15</v>
      </c>
      <c r="D497" t="str">
        <f t="shared" si="27"/>
        <v>564028</v>
      </c>
      <c r="E497" t="s">
        <v>564</v>
      </c>
      <c r="F497" t="s">
        <v>29</v>
      </c>
    </row>
    <row r="498" spans="1:6" x14ac:dyDescent="0.25">
      <c r="A498" t="str">
        <f>"64040399"</f>
        <v>64040399</v>
      </c>
      <c r="B498" t="s">
        <v>575</v>
      </c>
      <c r="C498" t="s">
        <v>15</v>
      </c>
      <c r="D498" t="str">
        <f t="shared" si="27"/>
        <v>564028</v>
      </c>
      <c r="E498" t="s">
        <v>564</v>
      </c>
      <c r="F498" t="s">
        <v>29</v>
      </c>
    </row>
    <row r="499" spans="1:6" x14ac:dyDescent="0.25">
      <c r="A499" t="str">
        <f>"10715746"</f>
        <v>10715746</v>
      </c>
      <c r="B499" t="s">
        <v>576</v>
      </c>
      <c r="C499" t="s">
        <v>7</v>
      </c>
      <c r="D499" t="str">
        <f t="shared" si="27"/>
        <v>564028</v>
      </c>
      <c r="E499" t="s">
        <v>564</v>
      </c>
      <c r="F499" t="s">
        <v>62</v>
      </c>
    </row>
    <row r="500" spans="1:6" x14ac:dyDescent="0.25">
      <c r="A500" t="str">
        <f>"07091222"</f>
        <v>07091222</v>
      </c>
      <c r="B500" t="s">
        <v>577</v>
      </c>
      <c r="C500" t="s">
        <v>7</v>
      </c>
      <c r="D500" t="str">
        <f t="shared" si="27"/>
        <v>564028</v>
      </c>
      <c r="E500" t="s">
        <v>564</v>
      </c>
      <c r="F500" t="s">
        <v>328</v>
      </c>
    </row>
    <row r="501" spans="1:6" x14ac:dyDescent="0.25">
      <c r="A501" t="str">
        <f>"27035395"</f>
        <v>27035395</v>
      </c>
      <c r="B501" t="s">
        <v>578</v>
      </c>
      <c r="C501" t="s">
        <v>7</v>
      </c>
      <c r="D501" t="str">
        <f t="shared" si="27"/>
        <v>564028</v>
      </c>
      <c r="E501" t="s">
        <v>564</v>
      </c>
      <c r="F501" t="s">
        <v>11</v>
      </c>
    </row>
    <row r="502" spans="1:6" x14ac:dyDescent="0.25">
      <c r="A502" t="str">
        <f>"73632791"</f>
        <v>73632791</v>
      </c>
      <c r="B502" t="s">
        <v>579</v>
      </c>
      <c r="C502" t="s">
        <v>43</v>
      </c>
      <c r="D502" t="str">
        <f t="shared" si="27"/>
        <v>564028</v>
      </c>
      <c r="E502" t="s">
        <v>564</v>
      </c>
      <c r="F502" t="s">
        <v>183</v>
      </c>
    </row>
    <row r="503" spans="1:6" x14ac:dyDescent="0.25">
      <c r="A503" t="str">
        <f>"19739168"</f>
        <v>19739168</v>
      </c>
      <c r="B503" t="s">
        <v>580</v>
      </c>
      <c r="C503" t="s">
        <v>7</v>
      </c>
      <c r="D503" t="str">
        <f t="shared" si="27"/>
        <v>564028</v>
      </c>
      <c r="E503" t="s">
        <v>564</v>
      </c>
      <c r="F503" t="s">
        <v>11</v>
      </c>
    </row>
    <row r="504" spans="1:6" x14ac:dyDescent="0.25">
      <c r="A504" t="str">
        <f>"46748831"</f>
        <v>46748831</v>
      </c>
      <c r="B504" t="s">
        <v>581</v>
      </c>
      <c r="C504" t="s">
        <v>7</v>
      </c>
      <c r="D504" t="str">
        <f t="shared" si="27"/>
        <v>564028</v>
      </c>
      <c r="E504" t="s">
        <v>564</v>
      </c>
      <c r="F504" t="s">
        <v>9</v>
      </c>
    </row>
    <row r="505" spans="1:6" x14ac:dyDescent="0.25">
      <c r="A505" t="str">
        <f>"22767118"</f>
        <v>22767118</v>
      </c>
      <c r="B505" t="s">
        <v>582</v>
      </c>
      <c r="C505" t="s">
        <v>7</v>
      </c>
      <c r="D505" t="str">
        <f t="shared" si="27"/>
        <v>564028</v>
      </c>
      <c r="E505" t="s">
        <v>564</v>
      </c>
      <c r="F505" t="s">
        <v>139</v>
      </c>
    </row>
    <row r="506" spans="1:6" x14ac:dyDescent="0.25">
      <c r="A506" t="str">
        <f>"08707952"</f>
        <v>08707952</v>
      </c>
      <c r="B506" t="s">
        <v>583</v>
      </c>
      <c r="C506" t="s">
        <v>7</v>
      </c>
      <c r="D506" t="str">
        <f t="shared" si="27"/>
        <v>564028</v>
      </c>
      <c r="E506" t="s">
        <v>564</v>
      </c>
      <c r="F506" t="s">
        <v>29</v>
      </c>
    </row>
    <row r="507" spans="1:6" x14ac:dyDescent="0.25">
      <c r="A507" t="str">
        <f>"07670036"</f>
        <v>07670036</v>
      </c>
      <c r="B507" t="s">
        <v>584</v>
      </c>
      <c r="C507" t="s">
        <v>7</v>
      </c>
      <c r="D507" t="str">
        <f t="shared" si="27"/>
        <v>564028</v>
      </c>
      <c r="E507" t="s">
        <v>564</v>
      </c>
      <c r="F507" t="s">
        <v>62</v>
      </c>
    </row>
    <row r="508" spans="1:6" x14ac:dyDescent="0.25">
      <c r="A508" t="str">
        <f>"07360975"</f>
        <v>07360975</v>
      </c>
      <c r="B508" t="s">
        <v>585</v>
      </c>
      <c r="C508" t="s">
        <v>7</v>
      </c>
      <c r="D508" t="str">
        <f t="shared" si="27"/>
        <v>564028</v>
      </c>
      <c r="E508" t="s">
        <v>564</v>
      </c>
      <c r="F508" t="s">
        <v>62</v>
      </c>
    </row>
    <row r="509" spans="1:6" x14ac:dyDescent="0.25">
      <c r="A509" t="str">
        <f>"08842531"</f>
        <v>08842531</v>
      </c>
      <c r="B509" t="s">
        <v>586</v>
      </c>
      <c r="C509" t="s">
        <v>7</v>
      </c>
      <c r="D509" t="str">
        <f t="shared" si="27"/>
        <v>564028</v>
      </c>
      <c r="E509" t="s">
        <v>564</v>
      </c>
      <c r="F509" t="s">
        <v>11</v>
      </c>
    </row>
    <row r="510" spans="1:6" x14ac:dyDescent="0.25">
      <c r="A510" t="str">
        <f>"02343690"</f>
        <v>02343690</v>
      </c>
      <c r="B510" t="s">
        <v>587</v>
      </c>
      <c r="C510" t="s">
        <v>7</v>
      </c>
      <c r="D510" t="str">
        <f t="shared" si="27"/>
        <v>564028</v>
      </c>
      <c r="E510" t="s">
        <v>564</v>
      </c>
      <c r="F510" t="s">
        <v>11</v>
      </c>
    </row>
    <row r="511" spans="1:6" x14ac:dyDescent="0.25">
      <c r="A511" t="str">
        <f>"14368501"</f>
        <v>14368501</v>
      </c>
      <c r="B511" t="s">
        <v>588</v>
      </c>
      <c r="C511" t="s">
        <v>7</v>
      </c>
      <c r="D511" t="str">
        <f t="shared" si="27"/>
        <v>564028</v>
      </c>
      <c r="E511" t="s">
        <v>564</v>
      </c>
      <c r="F511" t="s">
        <v>62</v>
      </c>
    </row>
    <row r="512" spans="1:6" x14ac:dyDescent="0.25">
      <c r="A512" t="str">
        <f>"26548046"</f>
        <v>26548046</v>
      </c>
      <c r="B512" t="s">
        <v>589</v>
      </c>
      <c r="C512" t="s">
        <v>7</v>
      </c>
      <c r="D512" t="str">
        <f t="shared" si="27"/>
        <v>564028</v>
      </c>
      <c r="E512" t="s">
        <v>564</v>
      </c>
      <c r="F512" t="s">
        <v>9</v>
      </c>
    </row>
    <row r="513" spans="1:6" x14ac:dyDescent="0.25">
      <c r="A513" t="str">
        <f>"71176764"</f>
        <v>71176764</v>
      </c>
      <c r="B513" t="s">
        <v>590</v>
      </c>
      <c r="C513" t="s">
        <v>37</v>
      </c>
      <c r="D513" t="str">
        <f t="shared" si="27"/>
        <v>564028</v>
      </c>
      <c r="E513" t="s">
        <v>564</v>
      </c>
      <c r="F513" t="s">
        <v>38</v>
      </c>
    </row>
    <row r="514" spans="1:6" x14ac:dyDescent="0.25">
      <c r="A514" t="str">
        <f>"75125901"</f>
        <v>75125901</v>
      </c>
      <c r="B514" t="s">
        <v>591</v>
      </c>
      <c r="C514" t="s">
        <v>37</v>
      </c>
      <c r="D514" t="str">
        <f t="shared" si="27"/>
        <v>564028</v>
      </c>
      <c r="E514" t="s">
        <v>564</v>
      </c>
      <c r="F514" t="s">
        <v>38</v>
      </c>
    </row>
    <row r="515" spans="1:6" x14ac:dyDescent="0.25">
      <c r="A515" t="str">
        <f>"72744456"</f>
        <v>72744456</v>
      </c>
      <c r="B515" t="s">
        <v>592</v>
      </c>
      <c r="C515" t="s">
        <v>37</v>
      </c>
      <c r="D515" t="str">
        <f t="shared" si="27"/>
        <v>564028</v>
      </c>
      <c r="E515" t="s">
        <v>564</v>
      </c>
      <c r="F515" t="s">
        <v>38</v>
      </c>
    </row>
    <row r="516" spans="1:6" x14ac:dyDescent="0.25">
      <c r="A516" t="str">
        <f>"71197516"</f>
        <v>71197516</v>
      </c>
      <c r="B516" t="s">
        <v>593</v>
      </c>
      <c r="C516" t="s">
        <v>37</v>
      </c>
      <c r="D516" t="str">
        <f t="shared" si="27"/>
        <v>564028</v>
      </c>
      <c r="E516" t="s">
        <v>564</v>
      </c>
      <c r="F516" t="s">
        <v>38</v>
      </c>
    </row>
    <row r="517" spans="1:6" x14ac:dyDescent="0.25">
      <c r="A517" t="str">
        <f>"72745151"</f>
        <v>72745151</v>
      </c>
      <c r="B517" t="s">
        <v>594</v>
      </c>
      <c r="C517" t="s">
        <v>37</v>
      </c>
      <c r="D517" t="str">
        <f t="shared" si="27"/>
        <v>564028</v>
      </c>
      <c r="E517" t="s">
        <v>564</v>
      </c>
      <c r="F517" t="s">
        <v>38</v>
      </c>
    </row>
    <row r="518" spans="1:6" x14ac:dyDescent="0.25">
      <c r="A518" t="str">
        <f>"26576180"</f>
        <v>26576180</v>
      </c>
      <c r="B518" t="s">
        <v>595</v>
      </c>
      <c r="C518" t="s">
        <v>7</v>
      </c>
      <c r="D518" t="str">
        <f t="shared" si="27"/>
        <v>564028</v>
      </c>
      <c r="E518" t="s">
        <v>564</v>
      </c>
      <c r="F518" t="s">
        <v>11</v>
      </c>
    </row>
    <row r="519" spans="1:6" x14ac:dyDescent="0.25">
      <c r="A519" t="str">
        <f>"46746285"</f>
        <v>46746285</v>
      </c>
      <c r="B519" t="s">
        <v>596</v>
      </c>
      <c r="C519" t="s">
        <v>7</v>
      </c>
      <c r="D519" t="str">
        <f t="shared" ref="D519:D550" si="28">"564028"</f>
        <v>564028</v>
      </c>
      <c r="E519" t="s">
        <v>564</v>
      </c>
      <c r="F519" t="s">
        <v>35</v>
      </c>
    </row>
    <row r="520" spans="1:6" x14ac:dyDescent="0.25">
      <c r="A520" t="str">
        <f>"23152249"</f>
        <v>23152249</v>
      </c>
      <c r="B520" t="s">
        <v>597</v>
      </c>
      <c r="C520" t="s">
        <v>7</v>
      </c>
      <c r="D520" t="str">
        <f t="shared" si="28"/>
        <v>564028</v>
      </c>
      <c r="E520" t="s">
        <v>564</v>
      </c>
      <c r="F520" t="s">
        <v>29</v>
      </c>
    </row>
    <row r="521" spans="1:6" x14ac:dyDescent="0.25">
      <c r="A521" t="str">
        <f>"06519482"</f>
        <v>06519482</v>
      </c>
      <c r="B521" t="s">
        <v>598</v>
      </c>
      <c r="C521" t="s">
        <v>7</v>
      </c>
      <c r="D521" t="str">
        <f t="shared" si="28"/>
        <v>564028</v>
      </c>
      <c r="E521" t="s">
        <v>564</v>
      </c>
      <c r="F521" t="s">
        <v>29</v>
      </c>
    </row>
    <row r="522" spans="1:6" x14ac:dyDescent="0.25">
      <c r="A522" t="str">
        <f>"46746579"</f>
        <v>46746579</v>
      </c>
      <c r="B522" t="s">
        <v>599</v>
      </c>
      <c r="C522" t="s">
        <v>7</v>
      </c>
      <c r="D522" t="str">
        <f t="shared" si="28"/>
        <v>564028</v>
      </c>
      <c r="E522" t="s">
        <v>564</v>
      </c>
      <c r="F522" t="s">
        <v>9</v>
      </c>
    </row>
    <row r="523" spans="1:6" x14ac:dyDescent="0.25">
      <c r="A523" t="str">
        <f>"46745084"</f>
        <v>46745084</v>
      </c>
      <c r="B523" t="s">
        <v>600</v>
      </c>
      <c r="C523" t="s">
        <v>7</v>
      </c>
      <c r="D523" t="str">
        <f t="shared" si="28"/>
        <v>564028</v>
      </c>
      <c r="E523" t="s">
        <v>564</v>
      </c>
      <c r="F523" t="s">
        <v>9</v>
      </c>
    </row>
    <row r="524" spans="1:6" x14ac:dyDescent="0.25">
      <c r="A524" t="str">
        <f>"46745025"</f>
        <v>46745025</v>
      </c>
      <c r="B524" t="s">
        <v>601</v>
      </c>
      <c r="C524" t="s">
        <v>7</v>
      </c>
      <c r="D524" t="str">
        <f t="shared" si="28"/>
        <v>564028</v>
      </c>
      <c r="E524" t="s">
        <v>564</v>
      </c>
      <c r="F524" t="s">
        <v>11</v>
      </c>
    </row>
    <row r="525" spans="1:6" x14ac:dyDescent="0.25">
      <c r="A525" t="str">
        <f>"27003256"</f>
        <v>27003256</v>
      </c>
      <c r="B525" t="s">
        <v>602</v>
      </c>
      <c r="C525" t="s">
        <v>7</v>
      </c>
      <c r="D525" t="str">
        <f t="shared" si="28"/>
        <v>564028</v>
      </c>
      <c r="E525" t="s">
        <v>564</v>
      </c>
      <c r="F525" t="s">
        <v>9</v>
      </c>
    </row>
    <row r="526" spans="1:6" x14ac:dyDescent="0.25">
      <c r="A526" t="str">
        <f>"46745211"</f>
        <v>46745211</v>
      </c>
      <c r="B526" t="s">
        <v>603</v>
      </c>
      <c r="C526" t="s">
        <v>7</v>
      </c>
      <c r="D526" t="str">
        <f t="shared" si="28"/>
        <v>564028</v>
      </c>
      <c r="E526" t="s">
        <v>564</v>
      </c>
      <c r="F526" t="s">
        <v>604</v>
      </c>
    </row>
    <row r="527" spans="1:6" x14ac:dyDescent="0.25">
      <c r="A527" t="str">
        <f>"26982773"</f>
        <v>26982773</v>
      </c>
      <c r="B527" t="s">
        <v>605</v>
      </c>
      <c r="C527" t="s">
        <v>7</v>
      </c>
      <c r="D527" t="str">
        <f t="shared" si="28"/>
        <v>564028</v>
      </c>
      <c r="E527" t="s">
        <v>564</v>
      </c>
      <c r="F527" t="s">
        <v>13</v>
      </c>
    </row>
    <row r="528" spans="1:6" x14ac:dyDescent="0.25">
      <c r="A528" t="str">
        <f>"70229660"</f>
        <v>70229660</v>
      </c>
      <c r="B528" t="s">
        <v>606</v>
      </c>
      <c r="C528" t="s">
        <v>7</v>
      </c>
      <c r="D528" t="str">
        <f t="shared" si="28"/>
        <v>564028</v>
      </c>
      <c r="E528" t="s">
        <v>564</v>
      </c>
      <c r="F528" t="s">
        <v>11</v>
      </c>
    </row>
    <row r="529" spans="1:6" x14ac:dyDescent="0.25">
      <c r="A529" t="str">
        <f>"22753583"</f>
        <v>22753583</v>
      </c>
      <c r="B529" t="s">
        <v>607</v>
      </c>
      <c r="C529" t="s">
        <v>7</v>
      </c>
      <c r="D529" t="str">
        <f t="shared" si="28"/>
        <v>564028</v>
      </c>
      <c r="E529" t="s">
        <v>564</v>
      </c>
      <c r="F529" t="s">
        <v>29</v>
      </c>
    </row>
    <row r="530" spans="1:6" x14ac:dyDescent="0.25">
      <c r="A530" t="str">
        <f>"02502488"</f>
        <v>02502488</v>
      </c>
      <c r="B530" t="s">
        <v>608</v>
      </c>
      <c r="C530" t="s">
        <v>7</v>
      </c>
      <c r="D530" t="str">
        <f t="shared" si="28"/>
        <v>564028</v>
      </c>
      <c r="E530" t="s">
        <v>564</v>
      </c>
      <c r="F530" t="s">
        <v>38</v>
      </c>
    </row>
    <row r="531" spans="1:6" x14ac:dyDescent="0.25">
      <c r="A531" t="str">
        <f>"22737154"</f>
        <v>22737154</v>
      </c>
      <c r="B531" t="s">
        <v>609</v>
      </c>
      <c r="C531" t="s">
        <v>7</v>
      </c>
      <c r="D531" t="str">
        <f t="shared" si="28"/>
        <v>564028</v>
      </c>
      <c r="E531" t="s">
        <v>564</v>
      </c>
      <c r="F531" t="s">
        <v>11</v>
      </c>
    </row>
    <row r="532" spans="1:6" x14ac:dyDescent="0.25">
      <c r="A532" t="str">
        <f>"68435959"</f>
        <v>68435959</v>
      </c>
      <c r="B532" t="s">
        <v>610</v>
      </c>
      <c r="C532" t="s">
        <v>7</v>
      </c>
      <c r="D532" t="str">
        <f t="shared" si="28"/>
        <v>564028</v>
      </c>
      <c r="E532" t="s">
        <v>564</v>
      </c>
      <c r="F532" t="s">
        <v>38</v>
      </c>
    </row>
    <row r="533" spans="1:6" x14ac:dyDescent="0.25">
      <c r="A533" t="str">
        <f>"26607786"</f>
        <v>26607786</v>
      </c>
      <c r="B533" t="s">
        <v>611</v>
      </c>
      <c r="C533" t="s">
        <v>7</v>
      </c>
      <c r="D533" t="str">
        <f t="shared" si="28"/>
        <v>564028</v>
      </c>
      <c r="E533" t="s">
        <v>564</v>
      </c>
      <c r="F533" t="s">
        <v>38</v>
      </c>
    </row>
    <row r="534" spans="1:6" x14ac:dyDescent="0.25">
      <c r="A534" t="str">
        <f>"46745891"</f>
        <v>46745891</v>
      </c>
      <c r="B534" t="s">
        <v>612</v>
      </c>
      <c r="C534" t="s">
        <v>7</v>
      </c>
      <c r="D534" t="str">
        <f t="shared" si="28"/>
        <v>564028</v>
      </c>
      <c r="E534" t="s">
        <v>564</v>
      </c>
      <c r="F534" t="s">
        <v>38</v>
      </c>
    </row>
    <row r="535" spans="1:6" x14ac:dyDescent="0.25">
      <c r="A535" t="str">
        <f>"46746081"</f>
        <v>46746081</v>
      </c>
      <c r="B535" t="s">
        <v>613</v>
      </c>
      <c r="C535" t="s">
        <v>7</v>
      </c>
      <c r="D535" t="str">
        <f t="shared" si="28"/>
        <v>564028</v>
      </c>
      <c r="E535" t="s">
        <v>564</v>
      </c>
      <c r="F535" t="s">
        <v>38</v>
      </c>
    </row>
    <row r="536" spans="1:6" x14ac:dyDescent="0.25">
      <c r="A536" t="str">
        <f>"46746137"</f>
        <v>46746137</v>
      </c>
      <c r="B536" t="s">
        <v>614</v>
      </c>
      <c r="C536" t="s">
        <v>7</v>
      </c>
      <c r="D536" t="str">
        <f t="shared" si="28"/>
        <v>564028</v>
      </c>
      <c r="E536" t="s">
        <v>564</v>
      </c>
      <c r="F536" t="s">
        <v>38</v>
      </c>
    </row>
    <row r="537" spans="1:6" x14ac:dyDescent="0.25">
      <c r="A537" t="str">
        <f>"49111604"</f>
        <v>49111604</v>
      </c>
      <c r="B537" t="s">
        <v>615</v>
      </c>
      <c r="C537" t="s">
        <v>43</v>
      </c>
      <c r="D537" t="str">
        <f t="shared" si="28"/>
        <v>564028</v>
      </c>
      <c r="E537" t="s">
        <v>564</v>
      </c>
      <c r="F537" t="s">
        <v>44</v>
      </c>
    </row>
    <row r="538" spans="1:6" x14ac:dyDescent="0.25">
      <c r="A538" t="str">
        <f>"22901019"</f>
        <v>22901019</v>
      </c>
      <c r="B538" t="s">
        <v>616</v>
      </c>
      <c r="C538" t="s">
        <v>7</v>
      </c>
      <c r="D538" t="str">
        <f t="shared" si="28"/>
        <v>564028</v>
      </c>
      <c r="E538" t="s">
        <v>564</v>
      </c>
      <c r="F538" t="s">
        <v>139</v>
      </c>
    </row>
    <row r="539" spans="1:6" x14ac:dyDescent="0.25">
      <c r="A539" t="str">
        <f>"28554167"</f>
        <v>28554167</v>
      </c>
      <c r="B539" t="s">
        <v>617</v>
      </c>
      <c r="C539" t="s">
        <v>7</v>
      </c>
      <c r="D539" t="str">
        <f t="shared" si="28"/>
        <v>564028</v>
      </c>
      <c r="E539" t="s">
        <v>564</v>
      </c>
      <c r="F539" t="s">
        <v>11</v>
      </c>
    </row>
    <row r="540" spans="1:6" x14ac:dyDescent="0.25">
      <c r="A540" t="str">
        <f>"27048926"</f>
        <v>27048926</v>
      </c>
      <c r="B540" t="s">
        <v>618</v>
      </c>
      <c r="C540" t="s">
        <v>7</v>
      </c>
      <c r="D540" t="str">
        <f t="shared" si="28"/>
        <v>564028</v>
      </c>
      <c r="E540" t="s">
        <v>564</v>
      </c>
      <c r="F540" t="s">
        <v>11</v>
      </c>
    </row>
    <row r="541" spans="1:6" x14ac:dyDescent="0.25">
      <c r="A541" t="str">
        <f>"26616785"</f>
        <v>26616785</v>
      </c>
      <c r="B541" t="s">
        <v>619</v>
      </c>
      <c r="C541" t="s">
        <v>7</v>
      </c>
      <c r="D541" t="str">
        <f t="shared" si="28"/>
        <v>564028</v>
      </c>
      <c r="E541" t="s">
        <v>564</v>
      </c>
      <c r="F541" t="s">
        <v>11</v>
      </c>
    </row>
    <row r="542" spans="1:6" x14ac:dyDescent="0.25">
      <c r="A542" t="str">
        <f>"26673649"</f>
        <v>26673649</v>
      </c>
      <c r="B542" t="s">
        <v>620</v>
      </c>
      <c r="C542" t="s">
        <v>7</v>
      </c>
      <c r="D542" t="str">
        <f t="shared" si="28"/>
        <v>564028</v>
      </c>
      <c r="E542" t="s">
        <v>564</v>
      </c>
      <c r="F542" t="s">
        <v>621</v>
      </c>
    </row>
    <row r="543" spans="1:6" x14ac:dyDescent="0.25">
      <c r="A543" t="str">
        <f>"19123027"</f>
        <v>19123027</v>
      </c>
      <c r="B543" t="s">
        <v>622</v>
      </c>
      <c r="C543" t="s">
        <v>20</v>
      </c>
      <c r="D543" t="str">
        <f t="shared" si="28"/>
        <v>564028</v>
      </c>
      <c r="E543" t="s">
        <v>564</v>
      </c>
      <c r="F543" t="s">
        <v>21</v>
      </c>
    </row>
    <row r="544" spans="1:6" x14ac:dyDescent="0.25">
      <c r="A544" t="str">
        <f>"27027279"</f>
        <v>27027279</v>
      </c>
      <c r="B544" t="s">
        <v>623</v>
      </c>
      <c r="C544" t="s">
        <v>7</v>
      </c>
      <c r="D544" t="str">
        <f t="shared" si="28"/>
        <v>564028</v>
      </c>
      <c r="E544" t="s">
        <v>564</v>
      </c>
      <c r="F544" t="s">
        <v>11</v>
      </c>
    </row>
    <row r="545" spans="1:6" x14ac:dyDescent="0.25">
      <c r="A545" t="str">
        <f>"02488795"</f>
        <v>02488795</v>
      </c>
      <c r="B545" t="s">
        <v>624</v>
      </c>
      <c r="C545" t="s">
        <v>7</v>
      </c>
      <c r="D545" t="str">
        <f t="shared" si="28"/>
        <v>564028</v>
      </c>
      <c r="E545" t="s">
        <v>564</v>
      </c>
      <c r="F545" t="s">
        <v>137</v>
      </c>
    </row>
    <row r="546" spans="1:6" x14ac:dyDescent="0.25">
      <c r="A546" t="str">
        <f>"01268201"</f>
        <v>01268201</v>
      </c>
      <c r="B546" t="s">
        <v>625</v>
      </c>
      <c r="C546" t="s">
        <v>7</v>
      </c>
      <c r="D546" t="str">
        <f t="shared" si="28"/>
        <v>564028</v>
      </c>
      <c r="E546" t="s">
        <v>564</v>
      </c>
      <c r="F546" t="s">
        <v>62</v>
      </c>
    </row>
    <row r="547" spans="1:6" x14ac:dyDescent="0.25">
      <c r="A547" t="str">
        <f>"73632163"</f>
        <v>73632163</v>
      </c>
      <c r="B547" t="s">
        <v>626</v>
      </c>
      <c r="C547" t="s">
        <v>43</v>
      </c>
      <c r="D547" t="str">
        <f t="shared" si="28"/>
        <v>564028</v>
      </c>
      <c r="E547" t="s">
        <v>564</v>
      </c>
      <c r="F547" t="s">
        <v>44</v>
      </c>
    </row>
    <row r="548" spans="1:6" x14ac:dyDescent="0.25">
      <c r="A548" t="str">
        <f>"75110237"</f>
        <v>75110237</v>
      </c>
      <c r="B548" t="s">
        <v>627</v>
      </c>
      <c r="C548" t="s">
        <v>15</v>
      </c>
      <c r="D548" t="str">
        <f t="shared" si="28"/>
        <v>564028</v>
      </c>
      <c r="E548" t="s">
        <v>564</v>
      </c>
      <c r="F548" t="s">
        <v>29</v>
      </c>
    </row>
    <row r="549" spans="1:6" x14ac:dyDescent="0.25">
      <c r="A549" t="str">
        <f>"46745599"</f>
        <v>46745599</v>
      </c>
      <c r="B549" t="s">
        <v>628</v>
      </c>
      <c r="C549" t="s">
        <v>43</v>
      </c>
      <c r="D549" t="str">
        <f t="shared" si="28"/>
        <v>564028</v>
      </c>
      <c r="E549" t="s">
        <v>564</v>
      </c>
      <c r="F549" t="s">
        <v>44</v>
      </c>
    </row>
    <row r="550" spans="1:6" x14ac:dyDescent="0.25">
      <c r="A550" t="str">
        <f>"46749527"</f>
        <v>46749527</v>
      </c>
      <c r="B550" t="s">
        <v>629</v>
      </c>
      <c r="C550" t="s">
        <v>43</v>
      </c>
      <c r="D550" t="str">
        <f t="shared" si="28"/>
        <v>564028</v>
      </c>
      <c r="E550" t="s">
        <v>564</v>
      </c>
      <c r="F550" t="s">
        <v>44</v>
      </c>
    </row>
    <row r="551" spans="1:6" x14ac:dyDescent="0.25">
      <c r="A551" t="str">
        <f>"46749501"</f>
        <v>46749501</v>
      </c>
      <c r="B551" t="s">
        <v>630</v>
      </c>
      <c r="C551" t="s">
        <v>43</v>
      </c>
      <c r="D551" t="str">
        <f t="shared" ref="D551:D582" si="29">"564028"</f>
        <v>564028</v>
      </c>
      <c r="E551" t="s">
        <v>564</v>
      </c>
      <c r="F551" t="s">
        <v>44</v>
      </c>
    </row>
    <row r="552" spans="1:6" x14ac:dyDescent="0.25">
      <c r="A552" t="str">
        <f>"46749519"</f>
        <v>46749519</v>
      </c>
      <c r="B552" t="s">
        <v>631</v>
      </c>
      <c r="C552" t="s">
        <v>43</v>
      </c>
      <c r="D552" t="str">
        <f t="shared" si="29"/>
        <v>564028</v>
      </c>
      <c r="E552" t="s">
        <v>564</v>
      </c>
      <c r="F552" t="s">
        <v>44</v>
      </c>
    </row>
    <row r="553" spans="1:6" x14ac:dyDescent="0.25">
      <c r="A553" t="str">
        <f>"46745807"</f>
        <v>46745807</v>
      </c>
      <c r="B553" t="s">
        <v>632</v>
      </c>
      <c r="C553" t="s">
        <v>43</v>
      </c>
      <c r="D553" t="str">
        <f t="shared" si="29"/>
        <v>564028</v>
      </c>
      <c r="E553" t="s">
        <v>564</v>
      </c>
      <c r="F553" t="s">
        <v>44</v>
      </c>
    </row>
    <row r="554" spans="1:6" x14ac:dyDescent="0.25">
      <c r="A554" t="str">
        <f>"70896224"</f>
        <v>70896224</v>
      </c>
      <c r="B554" t="s">
        <v>633</v>
      </c>
      <c r="C554" t="s">
        <v>7</v>
      </c>
      <c r="D554" t="str">
        <f t="shared" si="29"/>
        <v>564028</v>
      </c>
      <c r="E554" t="s">
        <v>564</v>
      </c>
      <c r="F554" t="s">
        <v>11</v>
      </c>
    </row>
    <row r="555" spans="1:6" x14ac:dyDescent="0.25">
      <c r="A555" t="str">
        <f>"68429207"</f>
        <v>68429207</v>
      </c>
      <c r="B555" t="s">
        <v>634</v>
      </c>
      <c r="C555" t="s">
        <v>7</v>
      </c>
      <c r="D555" t="str">
        <f t="shared" si="29"/>
        <v>564028</v>
      </c>
      <c r="E555" t="s">
        <v>564</v>
      </c>
      <c r="F555" t="s">
        <v>11</v>
      </c>
    </row>
    <row r="556" spans="1:6" x14ac:dyDescent="0.25">
      <c r="A556" t="str">
        <f>"68298773"</f>
        <v>68298773</v>
      </c>
      <c r="B556" t="s">
        <v>635</v>
      </c>
      <c r="C556" t="s">
        <v>7</v>
      </c>
      <c r="D556" t="str">
        <f t="shared" si="29"/>
        <v>564028</v>
      </c>
      <c r="E556" t="s">
        <v>564</v>
      </c>
      <c r="F556" t="s">
        <v>11</v>
      </c>
    </row>
    <row r="557" spans="1:6" x14ac:dyDescent="0.25">
      <c r="A557" t="str">
        <f>"02018942"</f>
        <v>02018942</v>
      </c>
      <c r="B557" t="s">
        <v>636</v>
      </c>
      <c r="C557" t="s">
        <v>7</v>
      </c>
      <c r="D557" t="str">
        <f t="shared" si="29"/>
        <v>564028</v>
      </c>
      <c r="E557" t="s">
        <v>564</v>
      </c>
      <c r="F557" t="s">
        <v>11</v>
      </c>
    </row>
    <row r="558" spans="1:6" x14ac:dyDescent="0.25">
      <c r="A558" t="str">
        <f>"44223960"</f>
        <v>44223960</v>
      </c>
      <c r="B558" t="s">
        <v>637</v>
      </c>
      <c r="C558" t="s">
        <v>15</v>
      </c>
      <c r="D558" t="str">
        <f t="shared" si="29"/>
        <v>564028</v>
      </c>
      <c r="E558" t="s">
        <v>564</v>
      </c>
      <c r="F558" t="s">
        <v>11</v>
      </c>
    </row>
    <row r="559" spans="1:6" x14ac:dyDescent="0.25">
      <c r="A559" t="str">
        <f>"46748890"</f>
        <v>46748890</v>
      </c>
      <c r="B559" t="s">
        <v>638</v>
      </c>
      <c r="C559" t="s">
        <v>7</v>
      </c>
      <c r="D559" t="str">
        <f t="shared" si="29"/>
        <v>564028</v>
      </c>
      <c r="E559" t="s">
        <v>564</v>
      </c>
      <c r="F559" t="s">
        <v>11</v>
      </c>
    </row>
    <row r="560" spans="1:6" x14ac:dyDescent="0.25">
      <c r="A560" t="str">
        <f>"02081580"</f>
        <v>02081580</v>
      </c>
      <c r="B560" t="s">
        <v>639</v>
      </c>
      <c r="C560" t="s">
        <v>15</v>
      </c>
      <c r="D560" t="str">
        <f t="shared" si="29"/>
        <v>564028</v>
      </c>
      <c r="E560" t="s">
        <v>564</v>
      </c>
      <c r="F560" t="s">
        <v>13</v>
      </c>
    </row>
    <row r="561" spans="1:6" x14ac:dyDescent="0.25">
      <c r="A561" t="str">
        <f>"00482897"</f>
        <v>00482897</v>
      </c>
      <c r="B561" t="s">
        <v>640</v>
      </c>
      <c r="C561" t="s">
        <v>641</v>
      </c>
      <c r="D561" t="str">
        <f t="shared" si="29"/>
        <v>564028</v>
      </c>
      <c r="E561" t="s">
        <v>564</v>
      </c>
      <c r="F561" t="s">
        <v>21</v>
      </c>
    </row>
    <row r="562" spans="1:6" x14ac:dyDescent="0.25">
      <c r="A562" t="str">
        <f>"49111825"</f>
        <v>49111825</v>
      </c>
      <c r="B562" t="s">
        <v>642</v>
      </c>
      <c r="C562" t="s">
        <v>15</v>
      </c>
      <c r="D562" t="str">
        <f t="shared" si="29"/>
        <v>564028</v>
      </c>
      <c r="E562" t="s">
        <v>564</v>
      </c>
      <c r="F562" t="s">
        <v>16</v>
      </c>
    </row>
    <row r="563" spans="1:6" x14ac:dyDescent="0.25">
      <c r="A563" t="str">
        <f>"49111833"</f>
        <v>49111833</v>
      </c>
      <c r="B563" t="s">
        <v>643</v>
      </c>
      <c r="C563" t="s">
        <v>15</v>
      </c>
      <c r="D563" t="str">
        <f t="shared" si="29"/>
        <v>564028</v>
      </c>
      <c r="E563" t="s">
        <v>564</v>
      </c>
      <c r="F563" t="s">
        <v>16</v>
      </c>
    </row>
    <row r="564" spans="1:6" x14ac:dyDescent="0.25">
      <c r="A564" t="str">
        <f>"46745190"</f>
        <v>46745190</v>
      </c>
      <c r="B564" t="s">
        <v>644</v>
      </c>
      <c r="C564" t="s">
        <v>7</v>
      </c>
      <c r="D564" t="str">
        <f t="shared" si="29"/>
        <v>564028</v>
      </c>
      <c r="E564" t="s">
        <v>564</v>
      </c>
      <c r="F564" t="s">
        <v>9</v>
      </c>
    </row>
    <row r="565" spans="1:6" x14ac:dyDescent="0.25">
      <c r="A565" t="str">
        <f>"64040585"</f>
        <v>64040585</v>
      </c>
      <c r="B565" t="s">
        <v>645</v>
      </c>
      <c r="C565" t="s">
        <v>7</v>
      </c>
      <c r="D565" t="str">
        <f t="shared" si="29"/>
        <v>564028</v>
      </c>
      <c r="E565" t="s">
        <v>564</v>
      </c>
      <c r="F565" t="s">
        <v>9</v>
      </c>
    </row>
    <row r="566" spans="1:6" x14ac:dyDescent="0.25">
      <c r="A566" t="str">
        <f>"44224842"</f>
        <v>44224842</v>
      </c>
      <c r="B566" t="s">
        <v>646</v>
      </c>
      <c r="C566" t="s">
        <v>7</v>
      </c>
      <c r="D566" t="str">
        <f t="shared" si="29"/>
        <v>564028</v>
      </c>
      <c r="E566" t="s">
        <v>564</v>
      </c>
      <c r="F566" t="s">
        <v>9</v>
      </c>
    </row>
    <row r="567" spans="1:6" x14ac:dyDescent="0.25">
      <c r="A567" t="str">
        <f>"22833129"</f>
        <v>22833129</v>
      </c>
      <c r="B567" t="s">
        <v>647</v>
      </c>
      <c r="C567" t="s">
        <v>7</v>
      </c>
      <c r="D567" t="str">
        <f t="shared" si="29"/>
        <v>564028</v>
      </c>
      <c r="E567" t="s">
        <v>564</v>
      </c>
      <c r="F567" t="s">
        <v>11</v>
      </c>
    </row>
    <row r="568" spans="1:6" x14ac:dyDescent="0.25">
      <c r="A568" t="str">
        <f>"22816232"</f>
        <v>22816232</v>
      </c>
      <c r="B568" t="s">
        <v>648</v>
      </c>
      <c r="C568" t="s">
        <v>7</v>
      </c>
      <c r="D568" t="str">
        <f t="shared" si="29"/>
        <v>564028</v>
      </c>
      <c r="E568" t="s">
        <v>564</v>
      </c>
      <c r="F568" t="s">
        <v>29</v>
      </c>
    </row>
    <row r="569" spans="1:6" x14ac:dyDescent="0.25">
      <c r="A569" t="str">
        <f>"26673789"</f>
        <v>26673789</v>
      </c>
      <c r="B569" t="s">
        <v>649</v>
      </c>
      <c r="C569" t="s">
        <v>7</v>
      </c>
      <c r="D569" t="str">
        <f t="shared" si="29"/>
        <v>564028</v>
      </c>
      <c r="E569" t="s">
        <v>564</v>
      </c>
      <c r="F569" t="s">
        <v>11</v>
      </c>
    </row>
    <row r="570" spans="1:6" x14ac:dyDescent="0.25">
      <c r="A570" t="str">
        <f>"64040747"</f>
        <v>64040747</v>
      </c>
      <c r="B570" t="s">
        <v>650</v>
      </c>
      <c r="C570" t="s">
        <v>7</v>
      </c>
      <c r="D570" t="str">
        <f t="shared" si="29"/>
        <v>564028</v>
      </c>
      <c r="E570" t="s">
        <v>564</v>
      </c>
      <c r="F570" t="s">
        <v>35</v>
      </c>
    </row>
    <row r="571" spans="1:6" x14ac:dyDescent="0.25">
      <c r="A571" t="str">
        <f>"04725000"</f>
        <v>04725000</v>
      </c>
      <c r="B571" t="s">
        <v>651</v>
      </c>
      <c r="C571" t="s">
        <v>7</v>
      </c>
      <c r="D571" t="str">
        <f t="shared" si="29"/>
        <v>564028</v>
      </c>
      <c r="E571" t="s">
        <v>564</v>
      </c>
      <c r="F571" t="s">
        <v>13</v>
      </c>
    </row>
    <row r="572" spans="1:6" x14ac:dyDescent="0.25">
      <c r="A572" t="str">
        <f>"06141447"</f>
        <v>06141447</v>
      </c>
      <c r="B572" t="s">
        <v>652</v>
      </c>
      <c r="C572" t="s">
        <v>7</v>
      </c>
      <c r="D572" t="str">
        <f t="shared" si="29"/>
        <v>564028</v>
      </c>
      <c r="E572" t="s">
        <v>564</v>
      </c>
      <c r="F572" t="s">
        <v>18</v>
      </c>
    </row>
    <row r="573" spans="1:6" x14ac:dyDescent="0.25">
      <c r="A573" t="str">
        <f>"06081631"</f>
        <v>06081631</v>
      </c>
      <c r="B573" t="s">
        <v>653</v>
      </c>
      <c r="C573" t="s">
        <v>7</v>
      </c>
      <c r="D573" t="str">
        <f t="shared" si="29"/>
        <v>564028</v>
      </c>
      <c r="E573" t="s">
        <v>564</v>
      </c>
      <c r="F573" t="s">
        <v>62</v>
      </c>
    </row>
    <row r="574" spans="1:6" x14ac:dyDescent="0.25">
      <c r="A574" t="str">
        <f>"26581094"</f>
        <v>26581094</v>
      </c>
      <c r="B574" t="s">
        <v>654</v>
      </c>
      <c r="C574" t="s">
        <v>7</v>
      </c>
      <c r="D574" t="str">
        <f t="shared" si="29"/>
        <v>564028</v>
      </c>
      <c r="E574" t="s">
        <v>564</v>
      </c>
      <c r="F574" t="s">
        <v>13</v>
      </c>
    </row>
    <row r="575" spans="1:6" x14ac:dyDescent="0.25">
      <c r="A575" t="str">
        <f>"22758151"</f>
        <v>22758151</v>
      </c>
      <c r="B575" t="s">
        <v>655</v>
      </c>
      <c r="C575" t="s">
        <v>7</v>
      </c>
      <c r="D575" t="str">
        <f t="shared" si="29"/>
        <v>564028</v>
      </c>
      <c r="E575" t="s">
        <v>564</v>
      </c>
      <c r="F575" t="s">
        <v>11</v>
      </c>
    </row>
    <row r="576" spans="1:6" x14ac:dyDescent="0.25">
      <c r="A576" t="str">
        <f>"46748741"</f>
        <v>46748741</v>
      </c>
      <c r="B576" t="s">
        <v>656</v>
      </c>
      <c r="C576" t="s">
        <v>7</v>
      </c>
      <c r="D576" t="str">
        <f t="shared" si="29"/>
        <v>564028</v>
      </c>
      <c r="E576" t="s">
        <v>564</v>
      </c>
      <c r="F576" t="s">
        <v>9</v>
      </c>
    </row>
    <row r="577" spans="1:6" x14ac:dyDescent="0.25">
      <c r="A577" t="str">
        <f>"05999031"</f>
        <v>05999031</v>
      </c>
      <c r="B577" t="s">
        <v>657</v>
      </c>
      <c r="C577" t="s">
        <v>7</v>
      </c>
      <c r="D577" t="str">
        <f t="shared" si="29"/>
        <v>564028</v>
      </c>
      <c r="E577" t="s">
        <v>564</v>
      </c>
      <c r="F577" t="s">
        <v>35</v>
      </c>
    </row>
    <row r="578" spans="1:6" x14ac:dyDescent="0.25">
      <c r="A578" t="str">
        <f>"26516691"</f>
        <v>26516691</v>
      </c>
      <c r="B578" t="s">
        <v>658</v>
      </c>
      <c r="C578" t="s">
        <v>7</v>
      </c>
      <c r="D578" t="str">
        <f t="shared" si="29"/>
        <v>564028</v>
      </c>
      <c r="E578" t="s">
        <v>564</v>
      </c>
      <c r="F578" t="s">
        <v>11</v>
      </c>
    </row>
    <row r="579" spans="1:6" x14ac:dyDescent="0.25">
      <c r="A579" t="str">
        <f>"46744061"</f>
        <v>46744061</v>
      </c>
      <c r="B579" t="s">
        <v>659</v>
      </c>
      <c r="C579" t="s">
        <v>7</v>
      </c>
      <c r="D579" t="str">
        <f t="shared" si="29"/>
        <v>564028</v>
      </c>
      <c r="E579" t="s">
        <v>564</v>
      </c>
      <c r="F579" t="s">
        <v>11</v>
      </c>
    </row>
    <row r="580" spans="1:6" x14ac:dyDescent="0.25">
      <c r="A580" t="str">
        <f>"22889027"</f>
        <v>22889027</v>
      </c>
      <c r="B580" t="s">
        <v>660</v>
      </c>
      <c r="C580" t="s">
        <v>7</v>
      </c>
      <c r="D580" t="str">
        <f t="shared" si="29"/>
        <v>564028</v>
      </c>
      <c r="E580" t="s">
        <v>564</v>
      </c>
      <c r="F580" t="s">
        <v>11</v>
      </c>
    </row>
    <row r="581" spans="1:6" x14ac:dyDescent="0.25">
      <c r="A581" t="str">
        <f>"00482951"</f>
        <v>00482951</v>
      </c>
      <c r="B581" t="s">
        <v>661</v>
      </c>
      <c r="C581" t="s">
        <v>7</v>
      </c>
      <c r="D581" t="str">
        <f t="shared" si="29"/>
        <v>564028</v>
      </c>
      <c r="E581" t="s">
        <v>564</v>
      </c>
      <c r="F581" t="s">
        <v>9</v>
      </c>
    </row>
    <row r="582" spans="1:6" x14ac:dyDescent="0.25">
      <c r="A582" t="str">
        <f>"00524794"</f>
        <v>00524794</v>
      </c>
      <c r="B582" t="s">
        <v>662</v>
      </c>
      <c r="C582" t="s">
        <v>7</v>
      </c>
      <c r="D582" t="str">
        <f t="shared" si="29"/>
        <v>564028</v>
      </c>
      <c r="E582" t="s">
        <v>564</v>
      </c>
      <c r="F582" t="s">
        <v>9</v>
      </c>
    </row>
    <row r="583" spans="1:6" x14ac:dyDescent="0.25">
      <c r="A583" t="str">
        <f>"46747729"</f>
        <v>46747729</v>
      </c>
      <c r="B583" t="s">
        <v>663</v>
      </c>
      <c r="C583" t="s">
        <v>7</v>
      </c>
      <c r="D583" t="str">
        <f t="shared" ref="D583:D594" si="30">"564028"</f>
        <v>564028</v>
      </c>
      <c r="E583" t="s">
        <v>564</v>
      </c>
      <c r="F583" t="s">
        <v>9</v>
      </c>
    </row>
    <row r="584" spans="1:6" x14ac:dyDescent="0.25">
      <c r="A584" t="str">
        <f>"66111587"</f>
        <v>66111587</v>
      </c>
      <c r="B584" t="s">
        <v>664</v>
      </c>
      <c r="C584" t="s">
        <v>7</v>
      </c>
      <c r="D584" t="str">
        <f t="shared" si="30"/>
        <v>564028</v>
      </c>
      <c r="E584" t="s">
        <v>564</v>
      </c>
      <c r="F584" t="s">
        <v>254</v>
      </c>
    </row>
    <row r="585" spans="1:6" x14ac:dyDescent="0.25">
      <c r="A585" t="str">
        <f>"02472481"</f>
        <v>02472481</v>
      </c>
      <c r="B585" t="s">
        <v>665</v>
      </c>
      <c r="C585" t="s">
        <v>15</v>
      </c>
      <c r="D585" t="str">
        <f t="shared" si="30"/>
        <v>564028</v>
      </c>
      <c r="E585" t="s">
        <v>564</v>
      </c>
      <c r="F585" t="s">
        <v>11</v>
      </c>
    </row>
    <row r="586" spans="1:6" x14ac:dyDescent="0.25">
      <c r="A586" t="str">
        <f>"03383938"</f>
        <v>03383938</v>
      </c>
      <c r="B586" t="s">
        <v>666</v>
      </c>
      <c r="C586" t="s">
        <v>7</v>
      </c>
      <c r="D586" t="str">
        <f t="shared" si="30"/>
        <v>564028</v>
      </c>
      <c r="E586" t="s">
        <v>564</v>
      </c>
      <c r="F586" t="s">
        <v>62</v>
      </c>
    </row>
    <row r="587" spans="1:6" x14ac:dyDescent="0.25">
      <c r="A587" t="str">
        <f>"04201671"</f>
        <v>04201671</v>
      </c>
      <c r="B587" t="s">
        <v>667</v>
      </c>
      <c r="C587" t="s">
        <v>7</v>
      </c>
      <c r="D587" t="str">
        <f t="shared" si="30"/>
        <v>564028</v>
      </c>
      <c r="E587" t="s">
        <v>564</v>
      </c>
      <c r="F587" t="s">
        <v>11</v>
      </c>
    </row>
    <row r="588" spans="1:6" x14ac:dyDescent="0.25">
      <c r="A588" t="str">
        <f>"68455810"</f>
        <v>68455810</v>
      </c>
      <c r="B588" t="s">
        <v>668</v>
      </c>
      <c r="C588" t="s">
        <v>15</v>
      </c>
      <c r="D588" t="str">
        <f t="shared" si="30"/>
        <v>564028</v>
      </c>
      <c r="E588" t="s">
        <v>564</v>
      </c>
      <c r="F588" t="s">
        <v>29</v>
      </c>
    </row>
    <row r="589" spans="1:6" x14ac:dyDescent="0.25">
      <c r="A589" t="str">
        <f>"71188592"</f>
        <v>71188592</v>
      </c>
      <c r="B589" t="s">
        <v>669</v>
      </c>
      <c r="C589" t="s">
        <v>20</v>
      </c>
      <c r="D589" t="str">
        <f t="shared" si="30"/>
        <v>564028</v>
      </c>
      <c r="E589" t="s">
        <v>564</v>
      </c>
      <c r="F589" t="s">
        <v>21</v>
      </c>
    </row>
    <row r="590" spans="1:6" x14ac:dyDescent="0.25">
      <c r="A590" t="str">
        <f>"71188487"</f>
        <v>71188487</v>
      </c>
      <c r="B590" t="s">
        <v>670</v>
      </c>
      <c r="C590" t="s">
        <v>20</v>
      </c>
      <c r="D590" t="str">
        <f t="shared" si="30"/>
        <v>564028</v>
      </c>
      <c r="E590" t="s">
        <v>564</v>
      </c>
      <c r="F590" t="s">
        <v>21</v>
      </c>
    </row>
    <row r="591" spans="1:6" x14ac:dyDescent="0.25">
      <c r="A591" t="str">
        <f>"71188304"</f>
        <v>71188304</v>
      </c>
      <c r="B591" t="s">
        <v>671</v>
      </c>
      <c r="C591" t="s">
        <v>20</v>
      </c>
      <c r="D591" t="str">
        <f t="shared" si="30"/>
        <v>564028</v>
      </c>
      <c r="E591" t="s">
        <v>564</v>
      </c>
      <c r="F591" t="s">
        <v>21</v>
      </c>
    </row>
    <row r="592" spans="1:6" x14ac:dyDescent="0.25">
      <c r="A592" t="str">
        <f>"71188291"</f>
        <v>71188291</v>
      </c>
      <c r="B592" t="s">
        <v>672</v>
      </c>
      <c r="C592" t="s">
        <v>20</v>
      </c>
      <c r="D592" t="str">
        <f t="shared" si="30"/>
        <v>564028</v>
      </c>
      <c r="E592" t="s">
        <v>564</v>
      </c>
      <c r="F592" t="s">
        <v>21</v>
      </c>
    </row>
    <row r="593" spans="1:6" x14ac:dyDescent="0.25">
      <c r="A593" t="str">
        <f>"22770968"</f>
        <v>22770968</v>
      </c>
      <c r="B593" t="s">
        <v>673</v>
      </c>
      <c r="C593" t="s">
        <v>7</v>
      </c>
      <c r="D593" t="str">
        <f t="shared" si="30"/>
        <v>564028</v>
      </c>
      <c r="E593" t="s">
        <v>564</v>
      </c>
      <c r="F593" t="s">
        <v>11</v>
      </c>
    </row>
    <row r="594" spans="1:6" x14ac:dyDescent="0.25">
      <c r="A594" t="str">
        <f>"46746111"</f>
        <v>46746111</v>
      </c>
      <c r="B594" t="s">
        <v>674</v>
      </c>
      <c r="C594" t="s">
        <v>20</v>
      </c>
      <c r="D594" t="str">
        <f t="shared" si="30"/>
        <v>564028</v>
      </c>
      <c r="E594" t="s">
        <v>564</v>
      </c>
      <c r="F594" t="s">
        <v>21</v>
      </c>
    </row>
    <row r="595" spans="1:6" x14ac:dyDescent="0.25">
      <c r="A595" t="str">
        <f>"48678431"</f>
        <v>48678431</v>
      </c>
      <c r="B595" t="s">
        <v>675</v>
      </c>
      <c r="C595" t="s">
        <v>37</v>
      </c>
      <c r="D595" t="str">
        <f t="shared" ref="D595:D605" si="31">"563579"</f>
        <v>563579</v>
      </c>
      <c r="E595" t="s">
        <v>676</v>
      </c>
      <c r="F595" t="s">
        <v>38</v>
      </c>
    </row>
    <row r="596" spans="1:6" x14ac:dyDescent="0.25">
      <c r="A596" t="str">
        <f>"64669386"</f>
        <v>64669386</v>
      </c>
      <c r="B596" t="s">
        <v>677</v>
      </c>
      <c r="C596" t="s">
        <v>37</v>
      </c>
      <c r="D596" t="str">
        <f t="shared" si="31"/>
        <v>563579</v>
      </c>
      <c r="E596" t="s">
        <v>676</v>
      </c>
      <c r="F596" t="s">
        <v>38</v>
      </c>
    </row>
    <row r="597" spans="1:6" x14ac:dyDescent="0.25">
      <c r="A597" t="str">
        <f>"43256651"</f>
        <v>43256651</v>
      </c>
      <c r="B597" t="s">
        <v>678</v>
      </c>
      <c r="C597" t="s">
        <v>37</v>
      </c>
      <c r="D597" t="str">
        <f t="shared" si="31"/>
        <v>563579</v>
      </c>
      <c r="E597" t="s">
        <v>676</v>
      </c>
      <c r="F597" t="s">
        <v>38</v>
      </c>
    </row>
    <row r="598" spans="1:6" x14ac:dyDescent="0.25">
      <c r="A598" t="str">
        <f>"43256481"</f>
        <v>43256481</v>
      </c>
      <c r="B598" t="s">
        <v>679</v>
      </c>
      <c r="C598" t="s">
        <v>7</v>
      </c>
      <c r="D598" t="str">
        <f t="shared" si="31"/>
        <v>563579</v>
      </c>
      <c r="E598" t="s">
        <v>676</v>
      </c>
      <c r="F598" t="s">
        <v>11</v>
      </c>
    </row>
    <row r="599" spans="1:6" x14ac:dyDescent="0.25">
      <c r="A599" t="str">
        <f>"65082338"</f>
        <v>65082338</v>
      </c>
      <c r="B599" t="s">
        <v>680</v>
      </c>
      <c r="C599" t="s">
        <v>7</v>
      </c>
      <c r="D599" t="str">
        <f t="shared" si="31"/>
        <v>563579</v>
      </c>
      <c r="E599" t="s">
        <v>676</v>
      </c>
      <c r="F599" t="s">
        <v>38</v>
      </c>
    </row>
    <row r="600" spans="1:6" x14ac:dyDescent="0.25">
      <c r="A600" t="str">
        <f>"60254629"</f>
        <v>60254629</v>
      </c>
      <c r="B600" t="s">
        <v>681</v>
      </c>
      <c r="C600" t="s">
        <v>15</v>
      </c>
      <c r="D600" t="str">
        <f t="shared" si="31"/>
        <v>563579</v>
      </c>
      <c r="E600" t="s">
        <v>676</v>
      </c>
      <c r="F600" t="s">
        <v>16</v>
      </c>
    </row>
    <row r="601" spans="1:6" x14ac:dyDescent="0.25">
      <c r="A601" t="str">
        <f>"60254939"</f>
        <v>60254939</v>
      </c>
      <c r="B601" t="s">
        <v>682</v>
      </c>
      <c r="C601" t="s">
        <v>15</v>
      </c>
      <c r="D601" t="str">
        <f t="shared" si="31"/>
        <v>563579</v>
      </c>
      <c r="E601" t="s">
        <v>676</v>
      </c>
      <c r="F601" t="s">
        <v>16</v>
      </c>
    </row>
    <row r="602" spans="1:6" x14ac:dyDescent="0.25">
      <c r="A602" t="str">
        <f>"64668207"</f>
        <v>64668207</v>
      </c>
      <c r="B602" t="s">
        <v>683</v>
      </c>
      <c r="C602" t="s">
        <v>15</v>
      </c>
      <c r="D602" t="str">
        <f t="shared" si="31"/>
        <v>563579</v>
      </c>
      <c r="E602" t="s">
        <v>676</v>
      </c>
      <c r="F602" t="s">
        <v>16</v>
      </c>
    </row>
    <row r="603" spans="1:6" x14ac:dyDescent="0.25">
      <c r="A603" t="str">
        <f>"64668321"</f>
        <v>64668321</v>
      </c>
      <c r="B603" t="s">
        <v>684</v>
      </c>
      <c r="C603" t="s">
        <v>15</v>
      </c>
      <c r="D603" t="str">
        <f t="shared" si="31"/>
        <v>563579</v>
      </c>
      <c r="E603" t="s">
        <v>676</v>
      </c>
      <c r="F603" t="s">
        <v>16</v>
      </c>
    </row>
    <row r="604" spans="1:6" x14ac:dyDescent="0.25">
      <c r="A604" t="str">
        <f>"00672653"</f>
        <v>00672653</v>
      </c>
      <c r="B604" t="s">
        <v>685</v>
      </c>
      <c r="C604" t="s">
        <v>15</v>
      </c>
      <c r="D604" t="str">
        <f t="shared" si="31"/>
        <v>563579</v>
      </c>
      <c r="E604" t="s">
        <v>676</v>
      </c>
      <c r="F604" t="s">
        <v>9</v>
      </c>
    </row>
    <row r="605" spans="1:6" x14ac:dyDescent="0.25">
      <c r="A605" t="str">
        <f>"03080994"</f>
        <v>03080994</v>
      </c>
      <c r="B605" t="s">
        <v>686</v>
      </c>
      <c r="C605" t="s">
        <v>7</v>
      </c>
      <c r="D605" t="str">
        <f t="shared" si="31"/>
        <v>563579</v>
      </c>
      <c r="E605" t="s">
        <v>676</v>
      </c>
      <c r="F605" t="s">
        <v>13</v>
      </c>
    </row>
    <row r="606" spans="1:6" x14ac:dyDescent="0.25">
      <c r="A606" t="str">
        <f>"22690450"</f>
        <v>22690450</v>
      </c>
      <c r="B606" t="s">
        <v>687</v>
      </c>
      <c r="C606" t="s">
        <v>7</v>
      </c>
      <c r="D606" t="str">
        <f>"564036"</f>
        <v>564036</v>
      </c>
      <c r="E606" t="s">
        <v>688</v>
      </c>
      <c r="F606" t="s">
        <v>11</v>
      </c>
    </row>
    <row r="607" spans="1:6" x14ac:dyDescent="0.25">
      <c r="A607" t="str">
        <f>"01801554"</f>
        <v>01801554</v>
      </c>
      <c r="B607" t="s">
        <v>689</v>
      </c>
      <c r="C607" t="s">
        <v>7</v>
      </c>
      <c r="D607" t="str">
        <f>"564036"</f>
        <v>564036</v>
      </c>
      <c r="E607" t="s">
        <v>688</v>
      </c>
      <c r="F607" t="s">
        <v>38</v>
      </c>
    </row>
    <row r="608" spans="1:6" x14ac:dyDescent="0.25">
      <c r="A608" t="str">
        <f>"26616882"</f>
        <v>26616882</v>
      </c>
      <c r="B608" t="s">
        <v>690</v>
      </c>
      <c r="C608" t="s">
        <v>7</v>
      </c>
      <c r="D608" t="str">
        <f>"564036"</f>
        <v>564036</v>
      </c>
      <c r="E608" t="s">
        <v>688</v>
      </c>
      <c r="F608" t="s">
        <v>38</v>
      </c>
    </row>
    <row r="609" spans="1:6" x14ac:dyDescent="0.25">
      <c r="A609" t="str">
        <f>"49111922"</f>
        <v>49111922</v>
      </c>
      <c r="B609" t="s">
        <v>691</v>
      </c>
      <c r="C609" t="s">
        <v>15</v>
      </c>
      <c r="D609" t="str">
        <f>"564036"</f>
        <v>564036</v>
      </c>
      <c r="E609" t="s">
        <v>688</v>
      </c>
      <c r="F609" t="s">
        <v>16</v>
      </c>
    </row>
    <row r="610" spans="1:6" x14ac:dyDescent="0.25">
      <c r="A610" t="str">
        <f>"64040429"</f>
        <v>64040429</v>
      </c>
      <c r="B610" t="s">
        <v>692</v>
      </c>
      <c r="C610" t="s">
        <v>7</v>
      </c>
      <c r="D610" t="str">
        <f>"564036"</f>
        <v>564036</v>
      </c>
      <c r="E610" t="s">
        <v>688</v>
      </c>
      <c r="F610" t="s">
        <v>9</v>
      </c>
    </row>
    <row r="611" spans="1:6" x14ac:dyDescent="0.25">
      <c r="A611" t="str">
        <f>"19188501"</f>
        <v>19188501</v>
      </c>
      <c r="B611" t="s">
        <v>693</v>
      </c>
      <c r="C611" t="s">
        <v>7</v>
      </c>
      <c r="D611" t="str">
        <f t="shared" ref="D611:D619" si="32">"544337"</f>
        <v>544337</v>
      </c>
      <c r="E611" t="s">
        <v>694</v>
      </c>
      <c r="F611" t="s">
        <v>11</v>
      </c>
    </row>
    <row r="612" spans="1:6" x14ac:dyDescent="0.25">
      <c r="A612" t="str">
        <f>"62237403"</f>
        <v>62237403</v>
      </c>
      <c r="B612" t="s">
        <v>695</v>
      </c>
      <c r="C612" t="s">
        <v>15</v>
      </c>
      <c r="D612" t="str">
        <f t="shared" si="32"/>
        <v>544337</v>
      </c>
      <c r="E612" t="s">
        <v>694</v>
      </c>
      <c r="F612" t="s">
        <v>11</v>
      </c>
    </row>
    <row r="613" spans="1:6" x14ac:dyDescent="0.25">
      <c r="A613" t="str">
        <f>"41328230"</f>
        <v>41328230</v>
      </c>
      <c r="B613" t="s">
        <v>696</v>
      </c>
      <c r="C613" t="s">
        <v>7</v>
      </c>
      <c r="D613" t="str">
        <f t="shared" si="32"/>
        <v>544337</v>
      </c>
      <c r="E613" t="s">
        <v>694</v>
      </c>
      <c r="F613" t="s">
        <v>9</v>
      </c>
    </row>
    <row r="614" spans="1:6" x14ac:dyDescent="0.25">
      <c r="A614" t="str">
        <f>"22669671"</f>
        <v>22669671</v>
      </c>
      <c r="B614" t="s">
        <v>697</v>
      </c>
      <c r="C614" t="s">
        <v>7</v>
      </c>
      <c r="D614" t="str">
        <f t="shared" si="32"/>
        <v>544337</v>
      </c>
      <c r="E614" t="s">
        <v>694</v>
      </c>
      <c r="F614" t="s">
        <v>11</v>
      </c>
    </row>
    <row r="615" spans="1:6" x14ac:dyDescent="0.25">
      <c r="A615" t="str">
        <f>"09843035"</f>
        <v>09843035</v>
      </c>
      <c r="B615" t="s">
        <v>698</v>
      </c>
      <c r="C615" t="s">
        <v>7</v>
      </c>
      <c r="D615" t="str">
        <f t="shared" si="32"/>
        <v>544337</v>
      </c>
      <c r="E615" t="s">
        <v>694</v>
      </c>
      <c r="F615" t="s">
        <v>29</v>
      </c>
    </row>
    <row r="616" spans="1:6" x14ac:dyDescent="0.25">
      <c r="A616" t="str">
        <f>"48282634"</f>
        <v>48282634</v>
      </c>
      <c r="B616" t="s">
        <v>699</v>
      </c>
      <c r="C616" t="s">
        <v>7</v>
      </c>
      <c r="D616" t="str">
        <f t="shared" si="32"/>
        <v>544337</v>
      </c>
      <c r="E616" t="s">
        <v>694</v>
      </c>
      <c r="F616" t="s">
        <v>11</v>
      </c>
    </row>
    <row r="617" spans="1:6" x14ac:dyDescent="0.25">
      <c r="A617" t="str">
        <f>"68298072"</f>
        <v>68298072</v>
      </c>
      <c r="B617" t="s">
        <v>700</v>
      </c>
      <c r="C617" t="s">
        <v>7</v>
      </c>
      <c r="D617" t="str">
        <f t="shared" si="32"/>
        <v>544337</v>
      </c>
      <c r="E617" t="s">
        <v>694</v>
      </c>
      <c r="F617" t="s">
        <v>11</v>
      </c>
    </row>
    <row r="618" spans="1:6" x14ac:dyDescent="0.25">
      <c r="A618" t="str">
        <f>"70582793"</f>
        <v>70582793</v>
      </c>
      <c r="B618" t="s">
        <v>701</v>
      </c>
      <c r="C618" t="s">
        <v>7</v>
      </c>
      <c r="D618" t="str">
        <f t="shared" si="32"/>
        <v>544337</v>
      </c>
      <c r="E618" t="s">
        <v>694</v>
      </c>
      <c r="F618" t="s">
        <v>11</v>
      </c>
    </row>
    <row r="619" spans="1:6" x14ac:dyDescent="0.25">
      <c r="A619" t="str">
        <f>"17856027"</f>
        <v>17856027</v>
      </c>
      <c r="B619" t="s">
        <v>702</v>
      </c>
      <c r="C619" t="s">
        <v>7</v>
      </c>
      <c r="D619" t="str">
        <f t="shared" si="32"/>
        <v>544337</v>
      </c>
      <c r="E619" t="s">
        <v>694</v>
      </c>
      <c r="F619" t="s">
        <v>254</v>
      </c>
    </row>
    <row r="620" spans="1:6" x14ac:dyDescent="0.25">
      <c r="A620" t="str">
        <f>"28768965"</f>
        <v>28768965</v>
      </c>
      <c r="B620" t="s">
        <v>703</v>
      </c>
      <c r="C620" t="s">
        <v>78</v>
      </c>
      <c r="D620" t="str">
        <f t="shared" ref="D620:D655" si="33">"577081"</f>
        <v>577081</v>
      </c>
      <c r="E620" t="s">
        <v>704</v>
      </c>
      <c r="F620" t="s">
        <v>11</v>
      </c>
    </row>
    <row r="621" spans="1:6" x14ac:dyDescent="0.25">
      <c r="A621" t="str">
        <f>"09446664"</f>
        <v>09446664</v>
      </c>
      <c r="B621" t="s">
        <v>705</v>
      </c>
      <c r="C621" t="s">
        <v>7</v>
      </c>
      <c r="D621" t="str">
        <f t="shared" si="33"/>
        <v>577081</v>
      </c>
      <c r="E621" t="s">
        <v>704</v>
      </c>
      <c r="F621" t="s">
        <v>62</v>
      </c>
    </row>
    <row r="622" spans="1:6" x14ac:dyDescent="0.25">
      <c r="A622" t="str">
        <f>"70860548"</f>
        <v>70860548</v>
      </c>
      <c r="B622" t="s">
        <v>706</v>
      </c>
      <c r="C622" t="s">
        <v>15</v>
      </c>
      <c r="D622" t="str">
        <f t="shared" si="33"/>
        <v>577081</v>
      </c>
      <c r="E622" t="s">
        <v>704</v>
      </c>
      <c r="F622" t="s">
        <v>11</v>
      </c>
    </row>
    <row r="623" spans="1:6" x14ac:dyDescent="0.25">
      <c r="A623" t="str">
        <f>"70837635"</f>
        <v>70837635</v>
      </c>
      <c r="B623" t="s">
        <v>707</v>
      </c>
      <c r="C623" t="s">
        <v>7</v>
      </c>
      <c r="D623" t="str">
        <f t="shared" si="33"/>
        <v>577081</v>
      </c>
      <c r="E623" t="s">
        <v>704</v>
      </c>
      <c r="F623" t="s">
        <v>9</v>
      </c>
    </row>
    <row r="624" spans="1:6" x14ac:dyDescent="0.25">
      <c r="A624" t="str">
        <f>"19157151"</f>
        <v>19157151</v>
      </c>
      <c r="B624" t="s">
        <v>708</v>
      </c>
      <c r="C624" t="s">
        <v>7</v>
      </c>
      <c r="D624" t="str">
        <f t="shared" si="33"/>
        <v>577081</v>
      </c>
      <c r="E624" t="s">
        <v>704</v>
      </c>
      <c r="F624" t="s">
        <v>29</v>
      </c>
    </row>
    <row r="625" spans="1:6" x14ac:dyDescent="0.25">
      <c r="A625" t="str">
        <f>"69173397"</f>
        <v>69173397</v>
      </c>
      <c r="B625" t="s">
        <v>709</v>
      </c>
      <c r="C625" t="s">
        <v>7</v>
      </c>
      <c r="D625" t="str">
        <f t="shared" si="33"/>
        <v>577081</v>
      </c>
      <c r="E625" t="s">
        <v>704</v>
      </c>
      <c r="F625" t="s">
        <v>9</v>
      </c>
    </row>
    <row r="626" spans="1:6" x14ac:dyDescent="0.25">
      <c r="A626" t="str">
        <f>"69173770"</f>
        <v>69173770</v>
      </c>
      <c r="B626" t="s">
        <v>710</v>
      </c>
      <c r="C626" t="s">
        <v>7</v>
      </c>
      <c r="D626" t="str">
        <f t="shared" si="33"/>
        <v>577081</v>
      </c>
      <c r="E626" t="s">
        <v>704</v>
      </c>
      <c r="F626" t="s">
        <v>9</v>
      </c>
    </row>
    <row r="627" spans="1:6" x14ac:dyDescent="0.25">
      <c r="A627" t="str">
        <f>"10753222"</f>
        <v>10753222</v>
      </c>
      <c r="B627" t="s">
        <v>711</v>
      </c>
      <c r="C627" t="s">
        <v>7</v>
      </c>
      <c r="D627" t="str">
        <f t="shared" si="33"/>
        <v>577081</v>
      </c>
      <c r="E627" t="s">
        <v>704</v>
      </c>
      <c r="F627" t="s">
        <v>29</v>
      </c>
    </row>
    <row r="628" spans="1:6" x14ac:dyDescent="0.25">
      <c r="A628" t="str">
        <f>"14157896"</f>
        <v>14157896</v>
      </c>
      <c r="B628" t="s">
        <v>712</v>
      </c>
      <c r="C628" t="s">
        <v>15</v>
      </c>
      <c r="D628" t="str">
        <f t="shared" si="33"/>
        <v>577081</v>
      </c>
      <c r="E628" t="s">
        <v>704</v>
      </c>
      <c r="F628" t="s">
        <v>35</v>
      </c>
    </row>
    <row r="629" spans="1:6" x14ac:dyDescent="0.25">
      <c r="A629" t="str">
        <f>"22886940"</f>
        <v>22886940</v>
      </c>
      <c r="B629" t="s">
        <v>713</v>
      </c>
      <c r="C629" t="s">
        <v>7</v>
      </c>
      <c r="D629" t="str">
        <f t="shared" si="33"/>
        <v>577081</v>
      </c>
      <c r="E629" t="s">
        <v>704</v>
      </c>
      <c r="F629" t="s">
        <v>11</v>
      </c>
    </row>
    <row r="630" spans="1:6" x14ac:dyDescent="0.25">
      <c r="A630" t="str">
        <f>"07190557"</f>
        <v>07190557</v>
      </c>
      <c r="B630" t="s">
        <v>714</v>
      </c>
      <c r="C630" t="s">
        <v>7</v>
      </c>
      <c r="D630" t="str">
        <f t="shared" si="33"/>
        <v>577081</v>
      </c>
      <c r="E630" t="s">
        <v>704</v>
      </c>
      <c r="F630" t="s">
        <v>11</v>
      </c>
    </row>
    <row r="631" spans="1:6" x14ac:dyDescent="0.25">
      <c r="A631" t="str">
        <f>"03292533"</f>
        <v>03292533</v>
      </c>
      <c r="B631" t="s">
        <v>715</v>
      </c>
      <c r="C631" t="s">
        <v>124</v>
      </c>
      <c r="D631" t="str">
        <f t="shared" si="33"/>
        <v>577081</v>
      </c>
      <c r="E631" t="s">
        <v>704</v>
      </c>
      <c r="F631" t="s">
        <v>62</v>
      </c>
    </row>
    <row r="632" spans="1:6" x14ac:dyDescent="0.25">
      <c r="A632" t="str">
        <f>"07145811"</f>
        <v>07145811</v>
      </c>
      <c r="B632" t="s">
        <v>716</v>
      </c>
      <c r="C632" t="s">
        <v>7</v>
      </c>
      <c r="D632" t="str">
        <f t="shared" si="33"/>
        <v>577081</v>
      </c>
      <c r="E632" t="s">
        <v>704</v>
      </c>
      <c r="F632" t="s">
        <v>11</v>
      </c>
    </row>
    <row r="633" spans="1:6" x14ac:dyDescent="0.25">
      <c r="A633" t="str">
        <f>"26650029"</f>
        <v>26650029</v>
      </c>
      <c r="B633" t="s">
        <v>717</v>
      </c>
      <c r="C633" t="s">
        <v>7</v>
      </c>
      <c r="D633" t="str">
        <f t="shared" si="33"/>
        <v>577081</v>
      </c>
      <c r="E633" t="s">
        <v>704</v>
      </c>
      <c r="F633" t="s">
        <v>11</v>
      </c>
    </row>
    <row r="634" spans="1:6" x14ac:dyDescent="0.25">
      <c r="A634" t="str">
        <f>"22688510"</f>
        <v>22688510</v>
      </c>
      <c r="B634" t="s">
        <v>718</v>
      </c>
      <c r="C634" t="s">
        <v>20</v>
      </c>
      <c r="D634" t="str">
        <f t="shared" si="33"/>
        <v>577081</v>
      </c>
      <c r="E634" t="s">
        <v>704</v>
      </c>
      <c r="F634" t="s">
        <v>21</v>
      </c>
    </row>
    <row r="635" spans="1:6" x14ac:dyDescent="0.25">
      <c r="A635" t="str">
        <f>"04278861"</f>
        <v>04278861</v>
      </c>
      <c r="B635" t="s">
        <v>719</v>
      </c>
      <c r="C635" t="s">
        <v>124</v>
      </c>
      <c r="D635" t="str">
        <f t="shared" si="33"/>
        <v>577081</v>
      </c>
      <c r="E635" t="s">
        <v>704</v>
      </c>
      <c r="F635" t="s">
        <v>62</v>
      </c>
    </row>
    <row r="636" spans="1:6" x14ac:dyDescent="0.25">
      <c r="A636" t="str">
        <f>"21229490"</f>
        <v>21229490</v>
      </c>
      <c r="B636" t="s">
        <v>720</v>
      </c>
      <c r="C636" t="s">
        <v>7</v>
      </c>
      <c r="D636" t="str">
        <f t="shared" si="33"/>
        <v>577081</v>
      </c>
      <c r="E636" t="s">
        <v>704</v>
      </c>
      <c r="F636" t="s">
        <v>721</v>
      </c>
    </row>
    <row r="637" spans="1:6" x14ac:dyDescent="0.25">
      <c r="A637" t="str">
        <f>"17799732"</f>
        <v>17799732</v>
      </c>
      <c r="B637" t="s">
        <v>722</v>
      </c>
      <c r="C637" t="s">
        <v>7</v>
      </c>
      <c r="D637" t="str">
        <f t="shared" si="33"/>
        <v>577081</v>
      </c>
      <c r="E637" t="s">
        <v>704</v>
      </c>
      <c r="F637" t="s">
        <v>11</v>
      </c>
    </row>
    <row r="638" spans="1:6" x14ac:dyDescent="0.25">
      <c r="A638" t="str">
        <f>"06033873"</f>
        <v>06033873</v>
      </c>
      <c r="B638" t="s">
        <v>723</v>
      </c>
      <c r="C638" t="s">
        <v>7</v>
      </c>
      <c r="D638" t="str">
        <f t="shared" si="33"/>
        <v>577081</v>
      </c>
      <c r="E638" t="s">
        <v>704</v>
      </c>
      <c r="F638" t="s">
        <v>62</v>
      </c>
    </row>
    <row r="639" spans="1:6" x14ac:dyDescent="0.25">
      <c r="A639" t="str">
        <f>"49295896"</f>
        <v>49295896</v>
      </c>
      <c r="B639" t="s">
        <v>724</v>
      </c>
      <c r="C639" t="s">
        <v>43</v>
      </c>
      <c r="D639" t="str">
        <f t="shared" si="33"/>
        <v>577081</v>
      </c>
      <c r="E639" t="s">
        <v>704</v>
      </c>
      <c r="F639" t="s">
        <v>44</v>
      </c>
    </row>
    <row r="640" spans="1:6" x14ac:dyDescent="0.25">
      <c r="A640" t="str">
        <f>"49294709"</f>
        <v>49294709</v>
      </c>
      <c r="B640" t="s">
        <v>725</v>
      </c>
      <c r="C640" t="s">
        <v>726</v>
      </c>
      <c r="D640" t="str">
        <f t="shared" si="33"/>
        <v>577081</v>
      </c>
      <c r="E640" t="s">
        <v>704</v>
      </c>
      <c r="F640" t="s">
        <v>11</v>
      </c>
    </row>
    <row r="641" spans="1:6" x14ac:dyDescent="0.25">
      <c r="A641" t="str">
        <f>"22820469"</f>
        <v>22820469</v>
      </c>
      <c r="B641" t="s">
        <v>727</v>
      </c>
      <c r="C641" t="s">
        <v>7</v>
      </c>
      <c r="D641" t="str">
        <f t="shared" si="33"/>
        <v>577081</v>
      </c>
      <c r="E641" t="s">
        <v>704</v>
      </c>
      <c r="F641" t="s">
        <v>11</v>
      </c>
    </row>
    <row r="642" spans="1:6" x14ac:dyDescent="0.25">
      <c r="A642" t="str">
        <f>"49296329"</f>
        <v>49296329</v>
      </c>
      <c r="B642" t="s">
        <v>728</v>
      </c>
      <c r="C642" t="s">
        <v>726</v>
      </c>
      <c r="D642" t="str">
        <f t="shared" si="33"/>
        <v>577081</v>
      </c>
      <c r="E642" t="s">
        <v>704</v>
      </c>
      <c r="F642" t="s">
        <v>62</v>
      </c>
    </row>
    <row r="643" spans="1:6" x14ac:dyDescent="0.25">
      <c r="A643" t="str">
        <f>"62012789"</f>
        <v>62012789</v>
      </c>
      <c r="B643" t="s">
        <v>729</v>
      </c>
      <c r="C643" t="s">
        <v>15</v>
      </c>
      <c r="D643" t="str">
        <f t="shared" si="33"/>
        <v>577081</v>
      </c>
      <c r="E643" t="s">
        <v>704</v>
      </c>
      <c r="F643" t="s">
        <v>16</v>
      </c>
    </row>
    <row r="644" spans="1:6" x14ac:dyDescent="0.25">
      <c r="A644" t="str">
        <f>"62013122"</f>
        <v>62013122</v>
      </c>
      <c r="B644" t="s">
        <v>730</v>
      </c>
      <c r="C644" t="s">
        <v>7</v>
      </c>
      <c r="D644" t="str">
        <f t="shared" si="33"/>
        <v>577081</v>
      </c>
      <c r="E644" t="s">
        <v>704</v>
      </c>
      <c r="F644" t="s">
        <v>9</v>
      </c>
    </row>
    <row r="645" spans="1:6" x14ac:dyDescent="0.25">
      <c r="A645" t="str">
        <f>"03654354"</f>
        <v>03654354</v>
      </c>
      <c r="B645" t="s">
        <v>731</v>
      </c>
      <c r="C645" t="s">
        <v>7</v>
      </c>
      <c r="D645" t="str">
        <f t="shared" si="33"/>
        <v>577081</v>
      </c>
      <c r="E645" t="s">
        <v>704</v>
      </c>
      <c r="F645" t="s">
        <v>65</v>
      </c>
    </row>
    <row r="646" spans="1:6" x14ac:dyDescent="0.25">
      <c r="A646" t="str">
        <f>"05135133"</f>
        <v>05135133</v>
      </c>
      <c r="B646" t="s">
        <v>732</v>
      </c>
      <c r="C646" t="s">
        <v>7</v>
      </c>
      <c r="D646" t="str">
        <f t="shared" si="33"/>
        <v>577081</v>
      </c>
      <c r="E646" t="s">
        <v>704</v>
      </c>
      <c r="F646" t="s">
        <v>11</v>
      </c>
    </row>
    <row r="647" spans="1:6" x14ac:dyDescent="0.25">
      <c r="A647" t="str">
        <f>"62454005"</f>
        <v>62454005</v>
      </c>
      <c r="B647" t="s">
        <v>733</v>
      </c>
      <c r="C647" t="s">
        <v>7</v>
      </c>
      <c r="D647" t="str">
        <f t="shared" si="33"/>
        <v>577081</v>
      </c>
      <c r="E647" t="s">
        <v>704</v>
      </c>
      <c r="F647" t="s">
        <v>65</v>
      </c>
    </row>
    <row r="648" spans="1:6" x14ac:dyDescent="0.25">
      <c r="A648" t="str">
        <f>"06803971"</f>
        <v>06803971</v>
      </c>
      <c r="B648" t="s">
        <v>734</v>
      </c>
      <c r="C648" t="s">
        <v>7</v>
      </c>
      <c r="D648" t="str">
        <f t="shared" si="33"/>
        <v>577081</v>
      </c>
      <c r="E648" t="s">
        <v>704</v>
      </c>
      <c r="F648" t="s">
        <v>18</v>
      </c>
    </row>
    <row r="649" spans="1:6" x14ac:dyDescent="0.25">
      <c r="A649" t="str">
        <f>"19939353"</f>
        <v>19939353</v>
      </c>
      <c r="B649" t="s">
        <v>735</v>
      </c>
      <c r="C649" t="s">
        <v>7</v>
      </c>
      <c r="D649" t="str">
        <f t="shared" si="33"/>
        <v>577081</v>
      </c>
      <c r="E649" t="s">
        <v>704</v>
      </c>
      <c r="F649" t="s">
        <v>11</v>
      </c>
    </row>
    <row r="650" spans="1:6" x14ac:dyDescent="0.25">
      <c r="A650" t="str">
        <f>"45598274"</f>
        <v>45598274</v>
      </c>
      <c r="B650" t="s">
        <v>736</v>
      </c>
      <c r="C650" t="s">
        <v>7</v>
      </c>
      <c r="D650" t="str">
        <f t="shared" si="33"/>
        <v>577081</v>
      </c>
      <c r="E650" t="s">
        <v>704</v>
      </c>
      <c r="F650" t="s">
        <v>35</v>
      </c>
    </row>
    <row r="651" spans="1:6" x14ac:dyDescent="0.25">
      <c r="A651" t="str">
        <f>"09939245"</f>
        <v>09939245</v>
      </c>
      <c r="B651" t="s">
        <v>737</v>
      </c>
      <c r="C651" t="s">
        <v>7</v>
      </c>
      <c r="D651" t="str">
        <f t="shared" si="33"/>
        <v>577081</v>
      </c>
      <c r="E651" t="s">
        <v>704</v>
      </c>
      <c r="F651" t="s">
        <v>9</v>
      </c>
    </row>
    <row r="652" spans="1:6" x14ac:dyDescent="0.25">
      <c r="A652" t="str">
        <f>"02980240"</f>
        <v>02980240</v>
      </c>
      <c r="B652" t="s">
        <v>738</v>
      </c>
      <c r="C652" t="s">
        <v>20</v>
      </c>
      <c r="D652" t="str">
        <f t="shared" si="33"/>
        <v>577081</v>
      </c>
      <c r="E652" t="s">
        <v>704</v>
      </c>
      <c r="F652" t="s">
        <v>21</v>
      </c>
    </row>
    <row r="653" spans="1:6" x14ac:dyDescent="0.25">
      <c r="A653" t="str">
        <f>"00528510"</f>
        <v>00528510</v>
      </c>
      <c r="B653" t="s">
        <v>739</v>
      </c>
      <c r="C653" t="s">
        <v>7</v>
      </c>
      <c r="D653" t="str">
        <f t="shared" si="33"/>
        <v>577081</v>
      </c>
      <c r="E653" t="s">
        <v>704</v>
      </c>
      <c r="F653" t="s">
        <v>65</v>
      </c>
    </row>
    <row r="654" spans="1:6" x14ac:dyDescent="0.25">
      <c r="A654" t="str">
        <f>"15043321"</f>
        <v>15043321</v>
      </c>
      <c r="B654" t="s">
        <v>740</v>
      </c>
      <c r="C654" t="s">
        <v>7</v>
      </c>
      <c r="D654" t="str">
        <f t="shared" si="33"/>
        <v>577081</v>
      </c>
      <c r="E654" t="s">
        <v>704</v>
      </c>
      <c r="F654" t="s">
        <v>35</v>
      </c>
    </row>
    <row r="655" spans="1:6" x14ac:dyDescent="0.25">
      <c r="A655" t="str">
        <f>"22663975"</f>
        <v>22663975</v>
      </c>
      <c r="B655" t="s">
        <v>741</v>
      </c>
      <c r="C655" t="s">
        <v>7</v>
      </c>
      <c r="D655" t="str">
        <f t="shared" si="33"/>
        <v>577081</v>
      </c>
      <c r="E655" t="s">
        <v>704</v>
      </c>
      <c r="F655" t="s">
        <v>11</v>
      </c>
    </row>
    <row r="656" spans="1:6" x14ac:dyDescent="0.25">
      <c r="A656" t="str">
        <f>"26626357"</f>
        <v>26626357</v>
      </c>
      <c r="B656" t="s">
        <v>742</v>
      </c>
      <c r="C656" t="s">
        <v>7</v>
      </c>
      <c r="D656" t="str">
        <f t="shared" ref="D656:D699" si="34">"564044"</f>
        <v>564044</v>
      </c>
      <c r="E656" t="s">
        <v>743</v>
      </c>
      <c r="F656" t="s">
        <v>11</v>
      </c>
    </row>
    <row r="657" spans="1:6" x14ac:dyDescent="0.25">
      <c r="A657" t="str">
        <f>"46745823"</f>
        <v>46745823</v>
      </c>
      <c r="B657" t="s">
        <v>744</v>
      </c>
      <c r="C657" t="s">
        <v>7</v>
      </c>
      <c r="D657" t="str">
        <f t="shared" si="34"/>
        <v>564044</v>
      </c>
      <c r="E657" t="s">
        <v>743</v>
      </c>
      <c r="F657" t="s">
        <v>9</v>
      </c>
    </row>
    <row r="658" spans="1:6" x14ac:dyDescent="0.25">
      <c r="A658" t="str">
        <f>"02479273"</f>
        <v>02479273</v>
      </c>
      <c r="B658" t="s">
        <v>745</v>
      </c>
      <c r="C658" t="s">
        <v>78</v>
      </c>
      <c r="D658" t="str">
        <f t="shared" si="34"/>
        <v>564044</v>
      </c>
      <c r="E658" t="s">
        <v>743</v>
      </c>
      <c r="F658" t="s">
        <v>11</v>
      </c>
    </row>
    <row r="659" spans="1:6" x14ac:dyDescent="0.25">
      <c r="A659" t="str">
        <f>"19539665"</f>
        <v>19539665</v>
      </c>
      <c r="B659" t="s">
        <v>746</v>
      </c>
      <c r="C659" t="s">
        <v>124</v>
      </c>
      <c r="D659" t="str">
        <f t="shared" si="34"/>
        <v>564044</v>
      </c>
      <c r="E659" t="s">
        <v>743</v>
      </c>
      <c r="F659" t="s">
        <v>11</v>
      </c>
    </row>
    <row r="660" spans="1:6" x14ac:dyDescent="0.25">
      <c r="A660" t="str">
        <f>"64040275"</f>
        <v>64040275</v>
      </c>
      <c r="B660" t="s">
        <v>747</v>
      </c>
      <c r="C660" t="s">
        <v>7</v>
      </c>
      <c r="D660" t="str">
        <f t="shared" si="34"/>
        <v>564044</v>
      </c>
      <c r="E660" t="s">
        <v>743</v>
      </c>
      <c r="F660" t="s">
        <v>328</v>
      </c>
    </row>
    <row r="661" spans="1:6" x14ac:dyDescent="0.25">
      <c r="A661" t="str">
        <f>"09949003"</f>
        <v>09949003</v>
      </c>
      <c r="B661" t="s">
        <v>748</v>
      </c>
      <c r="C661" t="s">
        <v>7</v>
      </c>
      <c r="D661" t="str">
        <f t="shared" si="34"/>
        <v>564044</v>
      </c>
      <c r="E661" t="s">
        <v>743</v>
      </c>
      <c r="F661" t="s">
        <v>18</v>
      </c>
    </row>
    <row r="662" spans="1:6" x14ac:dyDescent="0.25">
      <c r="A662" t="str">
        <f>"28554621"</f>
        <v>28554621</v>
      </c>
      <c r="B662" t="s">
        <v>749</v>
      </c>
      <c r="C662" t="s">
        <v>7</v>
      </c>
      <c r="D662" t="str">
        <f t="shared" si="34"/>
        <v>564044</v>
      </c>
      <c r="E662" t="s">
        <v>743</v>
      </c>
      <c r="F662" t="s">
        <v>424</v>
      </c>
    </row>
    <row r="663" spans="1:6" x14ac:dyDescent="0.25">
      <c r="A663" t="str">
        <f>"46744606"</f>
        <v>46744606</v>
      </c>
      <c r="B663" t="s">
        <v>750</v>
      </c>
      <c r="C663" t="s">
        <v>7</v>
      </c>
      <c r="D663" t="str">
        <f t="shared" si="34"/>
        <v>564044</v>
      </c>
      <c r="E663" t="s">
        <v>743</v>
      </c>
      <c r="F663" t="s">
        <v>9</v>
      </c>
    </row>
    <row r="664" spans="1:6" x14ac:dyDescent="0.25">
      <c r="A664" t="str">
        <f>"69898413"</f>
        <v>69898413</v>
      </c>
      <c r="B664" t="s">
        <v>751</v>
      </c>
      <c r="C664" t="s">
        <v>7</v>
      </c>
      <c r="D664" t="str">
        <f t="shared" si="34"/>
        <v>564044</v>
      </c>
      <c r="E664" t="s">
        <v>743</v>
      </c>
      <c r="F664" t="s">
        <v>11</v>
      </c>
    </row>
    <row r="665" spans="1:6" x14ac:dyDescent="0.25">
      <c r="A665" t="str">
        <f>"26527898"</f>
        <v>26527898</v>
      </c>
      <c r="B665" t="s">
        <v>752</v>
      </c>
      <c r="C665" t="s">
        <v>7</v>
      </c>
      <c r="D665" t="str">
        <f t="shared" si="34"/>
        <v>564044</v>
      </c>
      <c r="E665" t="s">
        <v>743</v>
      </c>
      <c r="F665" t="s">
        <v>11</v>
      </c>
    </row>
    <row r="666" spans="1:6" x14ac:dyDescent="0.25">
      <c r="A666" t="str">
        <f>"22844694"</f>
        <v>22844694</v>
      </c>
      <c r="B666" t="s">
        <v>753</v>
      </c>
      <c r="C666" t="s">
        <v>7</v>
      </c>
      <c r="D666" t="str">
        <f t="shared" si="34"/>
        <v>564044</v>
      </c>
      <c r="E666" t="s">
        <v>743</v>
      </c>
      <c r="F666" t="s">
        <v>11</v>
      </c>
    </row>
    <row r="667" spans="1:6" x14ac:dyDescent="0.25">
      <c r="A667" t="str">
        <f>"70870624"</f>
        <v>70870624</v>
      </c>
      <c r="B667" t="s">
        <v>754</v>
      </c>
      <c r="C667" t="s">
        <v>15</v>
      </c>
      <c r="D667" t="str">
        <f t="shared" si="34"/>
        <v>564044</v>
      </c>
      <c r="E667" t="s">
        <v>743</v>
      </c>
      <c r="F667" t="s">
        <v>11</v>
      </c>
    </row>
    <row r="668" spans="1:6" x14ac:dyDescent="0.25">
      <c r="A668" t="str">
        <f>"19315783"</f>
        <v>19315783</v>
      </c>
      <c r="B668" t="s">
        <v>755</v>
      </c>
      <c r="C668" t="s">
        <v>7</v>
      </c>
      <c r="D668" t="str">
        <f t="shared" si="34"/>
        <v>564044</v>
      </c>
      <c r="E668" t="s">
        <v>743</v>
      </c>
      <c r="F668" t="s">
        <v>62</v>
      </c>
    </row>
    <row r="669" spans="1:6" x14ac:dyDescent="0.25">
      <c r="A669" t="str">
        <f>"26614987"</f>
        <v>26614987</v>
      </c>
      <c r="B669" t="s">
        <v>756</v>
      </c>
      <c r="C669" t="s">
        <v>7</v>
      </c>
      <c r="D669" t="str">
        <f t="shared" si="34"/>
        <v>564044</v>
      </c>
      <c r="E669" t="s">
        <v>743</v>
      </c>
      <c r="F669" t="s">
        <v>11</v>
      </c>
    </row>
    <row r="670" spans="1:6" x14ac:dyDescent="0.25">
      <c r="A670" t="str">
        <f>"73635057"</f>
        <v>73635057</v>
      </c>
      <c r="B670" t="s">
        <v>757</v>
      </c>
      <c r="C670" t="s">
        <v>43</v>
      </c>
      <c r="D670" t="str">
        <f t="shared" si="34"/>
        <v>564044</v>
      </c>
      <c r="E670" t="s">
        <v>743</v>
      </c>
      <c r="F670" t="s">
        <v>44</v>
      </c>
    </row>
    <row r="671" spans="1:6" x14ac:dyDescent="0.25">
      <c r="A671" t="str">
        <f>"09286349"</f>
        <v>09286349</v>
      </c>
      <c r="B671" t="s">
        <v>758</v>
      </c>
      <c r="C671" t="s">
        <v>7</v>
      </c>
      <c r="D671" t="str">
        <f t="shared" si="34"/>
        <v>564044</v>
      </c>
      <c r="E671" t="s">
        <v>743</v>
      </c>
      <c r="F671" t="s">
        <v>139</v>
      </c>
    </row>
    <row r="672" spans="1:6" x14ac:dyDescent="0.25">
      <c r="A672" t="str">
        <f>"69410631"</f>
        <v>69410631</v>
      </c>
      <c r="B672" t="s">
        <v>759</v>
      </c>
      <c r="C672" t="s">
        <v>7</v>
      </c>
      <c r="D672" t="str">
        <f t="shared" si="34"/>
        <v>564044</v>
      </c>
      <c r="E672" t="s">
        <v>743</v>
      </c>
      <c r="F672" t="s">
        <v>38</v>
      </c>
    </row>
    <row r="673" spans="1:6" x14ac:dyDescent="0.25">
      <c r="A673" t="str">
        <f>"01650556"</f>
        <v>01650556</v>
      </c>
      <c r="B673" t="s">
        <v>760</v>
      </c>
      <c r="C673" t="s">
        <v>7</v>
      </c>
      <c r="D673" t="str">
        <f t="shared" si="34"/>
        <v>564044</v>
      </c>
      <c r="E673" t="s">
        <v>743</v>
      </c>
      <c r="F673" t="s">
        <v>38</v>
      </c>
    </row>
    <row r="674" spans="1:6" x14ac:dyDescent="0.25">
      <c r="A674" t="str">
        <f>"26605724"</f>
        <v>26605724</v>
      </c>
      <c r="B674" t="s">
        <v>761</v>
      </c>
      <c r="C674" t="s">
        <v>7</v>
      </c>
      <c r="D674" t="str">
        <f t="shared" si="34"/>
        <v>564044</v>
      </c>
      <c r="E674" t="s">
        <v>743</v>
      </c>
      <c r="F674" t="s">
        <v>38</v>
      </c>
    </row>
    <row r="675" spans="1:6" x14ac:dyDescent="0.25">
      <c r="A675" t="str">
        <f>"04580117"</f>
        <v>04580117</v>
      </c>
      <c r="B675" t="s">
        <v>762</v>
      </c>
      <c r="C675" t="s">
        <v>124</v>
      </c>
      <c r="D675" t="str">
        <f t="shared" si="34"/>
        <v>564044</v>
      </c>
      <c r="E675" t="s">
        <v>743</v>
      </c>
      <c r="F675" t="s">
        <v>11</v>
      </c>
    </row>
    <row r="676" spans="1:6" x14ac:dyDescent="0.25">
      <c r="A676" t="str">
        <f>"01415751"</f>
        <v>01415751</v>
      </c>
      <c r="B676" t="s">
        <v>763</v>
      </c>
      <c r="C676" t="s">
        <v>7</v>
      </c>
      <c r="D676" t="str">
        <f t="shared" si="34"/>
        <v>564044</v>
      </c>
      <c r="E676" t="s">
        <v>743</v>
      </c>
      <c r="F676" t="s">
        <v>11</v>
      </c>
    </row>
    <row r="677" spans="1:6" x14ac:dyDescent="0.25">
      <c r="A677" t="str">
        <f>"26605619"</f>
        <v>26605619</v>
      </c>
      <c r="B677" t="s">
        <v>764</v>
      </c>
      <c r="C677" t="s">
        <v>7</v>
      </c>
      <c r="D677" t="str">
        <f t="shared" si="34"/>
        <v>564044</v>
      </c>
      <c r="E677" t="s">
        <v>743</v>
      </c>
      <c r="F677" t="s">
        <v>11</v>
      </c>
    </row>
    <row r="678" spans="1:6" x14ac:dyDescent="0.25">
      <c r="A678" t="str">
        <f>"46748458"</f>
        <v>46748458</v>
      </c>
      <c r="B678" t="s">
        <v>765</v>
      </c>
      <c r="C678" t="s">
        <v>43</v>
      </c>
      <c r="D678" t="str">
        <f t="shared" si="34"/>
        <v>564044</v>
      </c>
      <c r="E678" t="s">
        <v>743</v>
      </c>
      <c r="F678" t="s">
        <v>44</v>
      </c>
    </row>
    <row r="679" spans="1:6" x14ac:dyDescent="0.25">
      <c r="A679" t="str">
        <f>"46745645"</f>
        <v>46745645</v>
      </c>
      <c r="B679" t="s">
        <v>766</v>
      </c>
      <c r="C679" t="s">
        <v>43</v>
      </c>
      <c r="D679" t="str">
        <f t="shared" si="34"/>
        <v>564044</v>
      </c>
      <c r="E679" t="s">
        <v>743</v>
      </c>
      <c r="F679" t="s">
        <v>44</v>
      </c>
    </row>
    <row r="680" spans="1:6" x14ac:dyDescent="0.25">
      <c r="A680" t="str">
        <f>"22727256"</f>
        <v>22727256</v>
      </c>
      <c r="B680" t="s">
        <v>767</v>
      </c>
      <c r="C680" t="s">
        <v>7</v>
      </c>
      <c r="D680" t="str">
        <f t="shared" si="34"/>
        <v>564044</v>
      </c>
      <c r="E680" t="s">
        <v>743</v>
      </c>
      <c r="F680" t="s">
        <v>11</v>
      </c>
    </row>
    <row r="681" spans="1:6" x14ac:dyDescent="0.25">
      <c r="A681" t="str">
        <f>"22820060"</f>
        <v>22820060</v>
      </c>
      <c r="B681" t="s">
        <v>768</v>
      </c>
      <c r="C681" t="s">
        <v>7</v>
      </c>
      <c r="D681" t="str">
        <f t="shared" si="34"/>
        <v>564044</v>
      </c>
      <c r="E681" t="s">
        <v>743</v>
      </c>
      <c r="F681" t="s">
        <v>62</v>
      </c>
    </row>
    <row r="682" spans="1:6" x14ac:dyDescent="0.25">
      <c r="A682" t="str">
        <f>"02758121"</f>
        <v>02758121</v>
      </c>
      <c r="B682" t="s">
        <v>769</v>
      </c>
      <c r="C682" t="s">
        <v>7</v>
      </c>
      <c r="D682" t="str">
        <f t="shared" si="34"/>
        <v>564044</v>
      </c>
      <c r="E682" t="s">
        <v>743</v>
      </c>
      <c r="F682" t="s">
        <v>11</v>
      </c>
    </row>
    <row r="683" spans="1:6" x14ac:dyDescent="0.25">
      <c r="A683" t="str">
        <f>"49111949"</f>
        <v>49111949</v>
      </c>
      <c r="B683" t="s">
        <v>770</v>
      </c>
      <c r="C683" t="s">
        <v>15</v>
      </c>
      <c r="D683" t="str">
        <f t="shared" si="34"/>
        <v>564044</v>
      </c>
      <c r="E683" t="s">
        <v>743</v>
      </c>
      <c r="F683" t="s">
        <v>16</v>
      </c>
    </row>
    <row r="684" spans="1:6" x14ac:dyDescent="0.25">
      <c r="A684" t="str">
        <f>"49111957"</f>
        <v>49111957</v>
      </c>
      <c r="B684" t="s">
        <v>771</v>
      </c>
      <c r="C684" t="s">
        <v>15</v>
      </c>
      <c r="D684" t="str">
        <f t="shared" si="34"/>
        <v>564044</v>
      </c>
      <c r="E684" t="s">
        <v>743</v>
      </c>
      <c r="F684" t="s">
        <v>16</v>
      </c>
    </row>
    <row r="685" spans="1:6" x14ac:dyDescent="0.25">
      <c r="A685" t="str">
        <f>"27055001"</f>
        <v>27055001</v>
      </c>
      <c r="B685" t="s">
        <v>772</v>
      </c>
      <c r="C685" t="s">
        <v>7</v>
      </c>
      <c r="D685" t="str">
        <f t="shared" si="34"/>
        <v>564044</v>
      </c>
      <c r="E685" t="s">
        <v>743</v>
      </c>
      <c r="F685" t="s">
        <v>9</v>
      </c>
    </row>
    <row r="686" spans="1:6" x14ac:dyDescent="0.25">
      <c r="A686" t="str">
        <f>"03725979"</f>
        <v>03725979</v>
      </c>
      <c r="B686" t="s">
        <v>773</v>
      </c>
      <c r="C686" t="s">
        <v>7</v>
      </c>
      <c r="D686" t="str">
        <f t="shared" si="34"/>
        <v>564044</v>
      </c>
      <c r="E686" t="s">
        <v>743</v>
      </c>
      <c r="F686" t="s">
        <v>11</v>
      </c>
    </row>
    <row r="687" spans="1:6" x14ac:dyDescent="0.25">
      <c r="A687" t="str">
        <f>"03710718"</f>
        <v>03710718</v>
      </c>
      <c r="B687" t="s">
        <v>774</v>
      </c>
      <c r="C687" t="s">
        <v>7</v>
      </c>
      <c r="D687" t="str">
        <f t="shared" si="34"/>
        <v>564044</v>
      </c>
      <c r="E687" t="s">
        <v>743</v>
      </c>
      <c r="F687" t="s">
        <v>13</v>
      </c>
    </row>
    <row r="688" spans="1:6" x14ac:dyDescent="0.25">
      <c r="A688" t="str">
        <f>"26607646"</f>
        <v>26607646</v>
      </c>
      <c r="B688" t="s">
        <v>775</v>
      </c>
      <c r="C688" t="s">
        <v>7</v>
      </c>
      <c r="D688" t="str">
        <f t="shared" si="34"/>
        <v>564044</v>
      </c>
      <c r="E688" t="s">
        <v>743</v>
      </c>
      <c r="F688" t="s">
        <v>11</v>
      </c>
    </row>
    <row r="689" spans="1:6" x14ac:dyDescent="0.25">
      <c r="A689" t="str">
        <f>"05395429"</f>
        <v>05395429</v>
      </c>
      <c r="B689" t="s">
        <v>776</v>
      </c>
      <c r="C689" t="s">
        <v>7</v>
      </c>
      <c r="D689" t="str">
        <f t="shared" si="34"/>
        <v>564044</v>
      </c>
      <c r="E689" t="s">
        <v>743</v>
      </c>
      <c r="F689" t="s">
        <v>13</v>
      </c>
    </row>
    <row r="690" spans="1:6" x14ac:dyDescent="0.25">
      <c r="A690" t="str">
        <f>"70807876"</f>
        <v>70807876</v>
      </c>
      <c r="B690" t="s">
        <v>777</v>
      </c>
      <c r="C690" t="s">
        <v>7</v>
      </c>
      <c r="D690" t="str">
        <f t="shared" si="34"/>
        <v>564044</v>
      </c>
      <c r="E690" t="s">
        <v>743</v>
      </c>
      <c r="F690" t="s">
        <v>11</v>
      </c>
    </row>
    <row r="691" spans="1:6" x14ac:dyDescent="0.25">
      <c r="A691" t="str">
        <f>"09951971"</f>
        <v>09951971</v>
      </c>
      <c r="B691" t="s">
        <v>778</v>
      </c>
      <c r="C691" t="s">
        <v>779</v>
      </c>
      <c r="D691" t="str">
        <f t="shared" si="34"/>
        <v>564044</v>
      </c>
      <c r="E691" t="s">
        <v>743</v>
      </c>
      <c r="F691" t="s">
        <v>780</v>
      </c>
    </row>
    <row r="692" spans="1:6" x14ac:dyDescent="0.25">
      <c r="A692" t="str">
        <f>"46744614"</f>
        <v>46744614</v>
      </c>
      <c r="B692" t="s">
        <v>781</v>
      </c>
      <c r="C692" t="s">
        <v>7</v>
      </c>
      <c r="D692" t="str">
        <f t="shared" si="34"/>
        <v>564044</v>
      </c>
      <c r="E692" t="s">
        <v>743</v>
      </c>
      <c r="F692" t="s">
        <v>9</v>
      </c>
    </row>
    <row r="693" spans="1:6" x14ac:dyDescent="0.25">
      <c r="A693" t="str">
        <f>"08642907"</f>
        <v>08642907</v>
      </c>
      <c r="B693" t="s">
        <v>782</v>
      </c>
      <c r="C693" t="s">
        <v>7</v>
      </c>
      <c r="D693" t="str">
        <f t="shared" si="34"/>
        <v>564044</v>
      </c>
      <c r="E693" t="s">
        <v>743</v>
      </c>
      <c r="F693" t="s">
        <v>62</v>
      </c>
    </row>
    <row r="694" spans="1:6" x14ac:dyDescent="0.25">
      <c r="A694" t="str">
        <f>"22668641"</f>
        <v>22668641</v>
      </c>
      <c r="B694" t="s">
        <v>783</v>
      </c>
      <c r="C694" t="s">
        <v>7</v>
      </c>
      <c r="D694" t="str">
        <f t="shared" si="34"/>
        <v>564044</v>
      </c>
      <c r="E694" t="s">
        <v>743</v>
      </c>
      <c r="F694" t="s">
        <v>11</v>
      </c>
    </row>
    <row r="695" spans="1:6" x14ac:dyDescent="0.25">
      <c r="A695" t="str">
        <f>"70847452"</f>
        <v>70847452</v>
      </c>
      <c r="B695" t="s">
        <v>784</v>
      </c>
      <c r="C695" t="s">
        <v>15</v>
      </c>
      <c r="D695" t="str">
        <f t="shared" si="34"/>
        <v>564044</v>
      </c>
      <c r="E695" t="s">
        <v>743</v>
      </c>
      <c r="F695" t="s">
        <v>11</v>
      </c>
    </row>
    <row r="696" spans="1:6" x14ac:dyDescent="0.25">
      <c r="A696" t="str">
        <f>"71188339"</f>
        <v>71188339</v>
      </c>
      <c r="B696" t="s">
        <v>785</v>
      </c>
      <c r="C696" t="s">
        <v>20</v>
      </c>
      <c r="D696" t="str">
        <f t="shared" si="34"/>
        <v>564044</v>
      </c>
      <c r="E696" t="s">
        <v>743</v>
      </c>
      <c r="F696" t="s">
        <v>21</v>
      </c>
    </row>
    <row r="697" spans="1:6" x14ac:dyDescent="0.25">
      <c r="A697" t="str">
        <f>"70229678"</f>
        <v>70229678</v>
      </c>
      <c r="B697" t="s">
        <v>786</v>
      </c>
      <c r="C697" t="s">
        <v>7</v>
      </c>
      <c r="D697" t="str">
        <f t="shared" si="34"/>
        <v>564044</v>
      </c>
      <c r="E697" t="s">
        <v>743</v>
      </c>
      <c r="F697" t="s">
        <v>18</v>
      </c>
    </row>
    <row r="698" spans="1:6" x14ac:dyDescent="0.25">
      <c r="A698" t="str">
        <f>"46748661"</f>
        <v>46748661</v>
      </c>
      <c r="B698" t="s">
        <v>787</v>
      </c>
      <c r="C698" t="s">
        <v>15</v>
      </c>
      <c r="D698" t="str">
        <f t="shared" si="34"/>
        <v>564044</v>
      </c>
      <c r="E698" t="s">
        <v>743</v>
      </c>
      <c r="F698" t="s">
        <v>65</v>
      </c>
    </row>
    <row r="699" spans="1:6" x14ac:dyDescent="0.25">
      <c r="A699" t="str">
        <f>"46748164"</f>
        <v>46748164</v>
      </c>
      <c r="B699" t="s">
        <v>788</v>
      </c>
      <c r="C699" t="s">
        <v>20</v>
      </c>
      <c r="D699" t="str">
        <f t="shared" si="34"/>
        <v>564044</v>
      </c>
      <c r="E699" t="s">
        <v>743</v>
      </c>
      <c r="F699" t="s">
        <v>21</v>
      </c>
    </row>
    <row r="700" spans="1:6" x14ac:dyDescent="0.25">
      <c r="A700" t="str">
        <f>"70902283"</f>
        <v>70902283</v>
      </c>
      <c r="B700" t="s">
        <v>789</v>
      </c>
      <c r="C700" t="s">
        <v>15</v>
      </c>
      <c r="D700" t="str">
        <f>"544353"</f>
        <v>544353</v>
      </c>
      <c r="E700" t="s">
        <v>790</v>
      </c>
      <c r="F700" t="s">
        <v>389</v>
      </c>
    </row>
    <row r="701" spans="1:6" x14ac:dyDescent="0.25">
      <c r="A701" t="str">
        <f>"07586108"</f>
        <v>07586108</v>
      </c>
      <c r="B701" t="s">
        <v>791</v>
      </c>
      <c r="C701" t="s">
        <v>7</v>
      </c>
      <c r="D701" t="str">
        <f>"544353"</f>
        <v>544353</v>
      </c>
      <c r="E701" t="s">
        <v>790</v>
      </c>
      <c r="F701" t="s">
        <v>11</v>
      </c>
    </row>
    <row r="702" spans="1:6" x14ac:dyDescent="0.25">
      <c r="A702" t="str">
        <f>"26626276"</f>
        <v>26626276</v>
      </c>
      <c r="B702" t="s">
        <v>792</v>
      </c>
      <c r="C702" t="s">
        <v>7</v>
      </c>
      <c r="D702" t="str">
        <f>"544353"</f>
        <v>544353</v>
      </c>
      <c r="E702" t="s">
        <v>790</v>
      </c>
      <c r="F702" t="s">
        <v>38</v>
      </c>
    </row>
    <row r="703" spans="1:6" x14ac:dyDescent="0.25">
      <c r="A703" t="str">
        <f>"70861773"</f>
        <v>70861773</v>
      </c>
      <c r="B703" t="s">
        <v>793</v>
      </c>
      <c r="C703" t="s">
        <v>15</v>
      </c>
      <c r="D703" t="str">
        <f>"544353"</f>
        <v>544353</v>
      </c>
      <c r="E703" t="s">
        <v>790</v>
      </c>
      <c r="F703" t="s">
        <v>16</v>
      </c>
    </row>
    <row r="704" spans="1:6" x14ac:dyDescent="0.25">
      <c r="A704" t="str">
        <f>"44225148"</f>
        <v>44225148</v>
      </c>
      <c r="B704" t="s">
        <v>794</v>
      </c>
      <c r="C704" t="s">
        <v>15</v>
      </c>
      <c r="D704" t="str">
        <f>"544353"</f>
        <v>544353</v>
      </c>
      <c r="E704" t="s">
        <v>790</v>
      </c>
      <c r="F704" t="s">
        <v>9</v>
      </c>
    </row>
    <row r="705" spans="1:6" x14ac:dyDescent="0.25">
      <c r="A705" t="str">
        <f>"03008762"</f>
        <v>03008762</v>
      </c>
      <c r="B705" t="s">
        <v>795</v>
      </c>
      <c r="C705" t="s">
        <v>7</v>
      </c>
      <c r="D705" t="str">
        <f t="shared" ref="D705:D712" si="35">"564052"</f>
        <v>564052</v>
      </c>
      <c r="E705" t="s">
        <v>796</v>
      </c>
      <c r="F705" t="s">
        <v>797</v>
      </c>
    </row>
    <row r="706" spans="1:6" x14ac:dyDescent="0.25">
      <c r="A706" t="str">
        <f>"46745475"</f>
        <v>46745475</v>
      </c>
      <c r="B706" t="s">
        <v>798</v>
      </c>
      <c r="C706" t="s">
        <v>37</v>
      </c>
      <c r="D706" t="str">
        <f t="shared" si="35"/>
        <v>564052</v>
      </c>
      <c r="E706" t="s">
        <v>796</v>
      </c>
      <c r="F706" t="s">
        <v>38</v>
      </c>
    </row>
    <row r="707" spans="1:6" x14ac:dyDescent="0.25">
      <c r="A707" t="str">
        <f>"49111680"</f>
        <v>49111680</v>
      </c>
      <c r="B707" t="s">
        <v>799</v>
      </c>
      <c r="C707" t="s">
        <v>7</v>
      </c>
      <c r="D707" t="str">
        <f t="shared" si="35"/>
        <v>564052</v>
      </c>
      <c r="E707" t="s">
        <v>796</v>
      </c>
      <c r="F707" t="s">
        <v>38</v>
      </c>
    </row>
    <row r="708" spans="1:6" x14ac:dyDescent="0.25">
      <c r="A708" t="str">
        <f>"19385412"</f>
        <v>19385412</v>
      </c>
      <c r="B708" t="s">
        <v>800</v>
      </c>
      <c r="C708" t="s">
        <v>7</v>
      </c>
      <c r="D708" t="str">
        <f t="shared" si="35"/>
        <v>564052</v>
      </c>
      <c r="E708" t="s">
        <v>796</v>
      </c>
      <c r="F708" t="s">
        <v>29</v>
      </c>
    </row>
    <row r="709" spans="1:6" x14ac:dyDescent="0.25">
      <c r="A709" t="str">
        <f>"26527561"</f>
        <v>26527561</v>
      </c>
      <c r="B709" t="s">
        <v>801</v>
      </c>
      <c r="C709" t="s">
        <v>7</v>
      </c>
      <c r="D709" t="str">
        <f t="shared" si="35"/>
        <v>564052</v>
      </c>
      <c r="E709" t="s">
        <v>796</v>
      </c>
      <c r="F709" t="s">
        <v>11</v>
      </c>
    </row>
    <row r="710" spans="1:6" x14ac:dyDescent="0.25">
      <c r="A710" t="str">
        <f>"44224583"</f>
        <v>44224583</v>
      </c>
      <c r="B710" t="s">
        <v>802</v>
      </c>
      <c r="C710" t="s">
        <v>15</v>
      </c>
      <c r="D710" t="str">
        <f t="shared" si="35"/>
        <v>564052</v>
      </c>
      <c r="E710" t="s">
        <v>796</v>
      </c>
      <c r="F710" t="s">
        <v>16</v>
      </c>
    </row>
    <row r="711" spans="1:6" x14ac:dyDescent="0.25">
      <c r="A711" t="str">
        <f>"44224982"</f>
        <v>44224982</v>
      </c>
      <c r="B711" t="s">
        <v>803</v>
      </c>
      <c r="C711" t="s">
        <v>7</v>
      </c>
      <c r="D711" t="str">
        <f t="shared" si="35"/>
        <v>564052</v>
      </c>
      <c r="E711" t="s">
        <v>796</v>
      </c>
      <c r="F711" t="s">
        <v>35</v>
      </c>
    </row>
    <row r="712" spans="1:6" x14ac:dyDescent="0.25">
      <c r="A712" t="str">
        <f>"22685227"</f>
        <v>22685227</v>
      </c>
      <c r="B712" t="s">
        <v>804</v>
      </c>
      <c r="C712" t="s">
        <v>7</v>
      </c>
      <c r="D712" t="str">
        <f t="shared" si="35"/>
        <v>564052</v>
      </c>
      <c r="E712" t="s">
        <v>796</v>
      </c>
      <c r="F712" t="s">
        <v>139</v>
      </c>
    </row>
    <row r="713" spans="1:6" x14ac:dyDescent="0.25">
      <c r="A713" t="str">
        <f>"46747737"</f>
        <v>46747737</v>
      </c>
      <c r="B713" t="s">
        <v>805</v>
      </c>
      <c r="C713" t="s">
        <v>7</v>
      </c>
      <c r="D713" t="str">
        <f t="shared" ref="D713:D756" si="36">"564061"</f>
        <v>564061</v>
      </c>
      <c r="E713" t="s">
        <v>806</v>
      </c>
      <c r="F713" t="s">
        <v>9</v>
      </c>
    </row>
    <row r="714" spans="1:6" x14ac:dyDescent="0.25">
      <c r="A714" t="str">
        <f>"22666460"</f>
        <v>22666460</v>
      </c>
      <c r="B714" t="s">
        <v>807</v>
      </c>
      <c r="C714" t="s">
        <v>7</v>
      </c>
      <c r="D714" t="str">
        <f t="shared" si="36"/>
        <v>564061</v>
      </c>
      <c r="E714" t="s">
        <v>806</v>
      </c>
      <c r="F714" t="s">
        <v>11</v>
      </c>
    </row>
    <row r="715" spans="1:6" x14ac:dyDescent="0.25">
      <c r="A715" t="str">
        <f>"09272119"</f>
        <v>09272119</v>
      </c>
      <c r="B715" t="s">
        <v>808</v>
      </c>
      <c r="C715" t="s">
        <v>7</v>
      </c>
      <c r="D715" t="str">
        <f t="shared" si="36"/>
        <v>564061</v>
      </c>
      <c r="E715" t="s">
        <v>806</v>
      </c>
      <c r="F715" t="s">
        <v>62</v>
      </c>
    </row>
    <row r="716" spans="1:6" x14ac:dyDescent="0.25">
      <c r="A716" t="str">
        <f>"07469454"</f>
        <v>07469454</v>
      </c>
      <c r="B716" t="s">
        <v>809</v>
      </c>
      <c r="C716" t="s">
        <v>7</v>
      </c>
      <c r="D716" t="str">
        <f t="shared" si="36"/>
        <v>564061</v>
      </c>
      <c r="E716" t="s">
        <v>806</v>
      </c>
      <c r="F716" t="s">
        <v>62</v>
      </c>
    </row>
    <row r="717" spans="1:6" x14ac:dyDescent="0.25">
      <c r="A717" t="str">
        <f>"05316448"</f>
        <v>05316448</v>
      </c>
      <c r="B717" t="s">
        <v>810</v>
      </c>
      <c r="C717" t="s">
        <v>7</v>
      </c>
      <c r="D717" t="str">
        <f t="shared" si="36"/>
        <v>564061</v>
      </c>
      <c r="E717" t="s">
        <v>806</v>
      </c>
      <c r="F717" t="s">
        <v>62</v>
      </c>
    </row>
    <row r="718" spans="1:6" x14ac:dyDescent="0.25">
      <c r="A718" t="str">
        <f>"02314673"</f>
        <v>02314673</v>
      </c>
      <c r="B718" t="s">
        <v>811</v>
      </c>
      <c r="C718" t="s">
        <v>7</v>
      </c>
      <c r="D718" t="str">
        <f t="shared" si="36"/>
        <v>564061</v>
      </c>
      <c r="E718" t="s">
        <v>806</v>
      </c>
      <c r="F718" t="s">
        <v>11</v>
      </c>
    </row>
    <row r="719" spans="1:6" x14ac:dyDescent="0.25">
      <c r="A719" t="str">
        <f>"00482544"</f>
        <v>00482544</v>
      </c>
      <c r="B719" t="s">
        <v>812</v>
      </c>
      <c r="C719" t="s">
        <v>15</v>
      </c>
      <c r="D719" t="str">
        <f t="shared" si="36"/>
        <v>564061</v>
      </c>
      <c r="E719" t="s">
        <v>806</v>
      </c>
      <c r="F719" t="s">
        <v>29</v>
      </c>
    </row>
    <row r="720" spans="1:6" x14ac:dyDescent="0.25">
      <c r="A720" t="str">
        <f>"06971725"</f>
        <v>06971725</v>
      </c>
      <c r="B720" t="s">
        <v>813</v>
      </c>
      <c r="C720" t="s">
        <v>7</v>
      </c>
      <c r="D720" t="str">
        <f t="shared" si="36"/>
        <v>564061</v>
      </c>
      <c r="E720" t="s">
        <v>806</v>
      </c>
      <c r="F720" t="s">
        <v>11</v>
      </c>
    </row>
    <row r="721" spans="1:6" x14ac:dyDescent="0.25">
      <c r="A721" t="str">
        <f>"08542279"</f>
        <v>08542279</v>
      </c>
      <c r="B721" t="s">
        <v>814</v>
      </c>
      <c r="C721" t="s">
        <v>7</v>
      </c>
      <c r="D721" t="str">
        <f t="shared" si="36"/>
        <v>564061</v>
      </c>
      <c r="E721" t="s">
        <v>806</v>
      </c>
      <c r="F721" t="s">
        <v>62</v>
      </c>
    </row>
    <row r="722" spans="1:6" x14ac:dyDescent="0.25">
      <c r="A722" t="str">
        <f>"46749349"</f>
        <v>46749349</v>
      </c>
      <c r="B722" t="s">
        <v>815</v>
      </c>
      <c r="C722" t="s">
        <v>15</v>
      </c>
      <c r="D722" t="str">
        <f t="shared" si="36"/>
        <v>564061</v>
      </c>
      <c r="E722" t="s">
        <v>806</v>
      </c>
      <c r="F722" t="s">
        <v>29</v>
      </c>
    </row>
    <row r="723" spans="1:6" x14ac:dyDescent="0.25">
      <c r="A723" t="str">
        <f>"64040551"</f>
        <v>64040551</v>
      </c>
      <c r="B723" t="s">
        <v>816</v>
      </c>
      <c r="C723" t="s">
        <v>15</v>
      </c>
      <c r="D723" t="str">
        <f t="shared" si="36"/>
        <v>564061</v>
      </c>
      <c r="E723" t="s">
        <v>806</v>
      </c>
      <c r="F723" t="s">
        <v>29</v>
      </c>
    </row>
    <row r="724" spans="1:6" x14ac:dyDescent="0.25">
      <c r="A724" t="str">
        <f>"22880836"</f>
        <v>22880836</v>
      </c>
      <c r="B724" t="s">
        <v>817</v>
      </c>
      <c r="C724" t="s">
        <v>7</v>
      </c>
      <c r="D724" t="str">
        <f t="shared" si="36"/>
        <v>564061</v>
      </c>
      <c r="E724" t="s">
        <v>806</v>
      </c>
      <c r="F724" t="s">
        <v>11</v>
      </c>
    </row>
    <row r="725" spans="1:6" x14ac:dyDescent="0.25">
      <c r="A725" t="str">
        <f>"08541710"</f>
        <v>08541710</v>
      </c>
      <c r="B725" t="s">
        <v>818</v>
      </c>
      <c r="C725" t="s">
        <v>7</v>
      </c>
      <c r="D725" t="str">
        <f t="shared" si="36"/>
        <v>564061</v>
      </c>
      <c r="E725" t="s">
        <v>806</v>
      </c>
      <c r="F725" t="s">
        <v>62</v>
      </c>
    </row>
    <row r="726" spans="1:6" x14ac:dyDescent="0.25">
      <c r="A726" t="str">
        <f>"22763686"</f>
        <v>22763686</v>
      </c>
      <c r="B726" t="s">
        <v>819</v>
      </c>
      <c r="C726" t="s">
        <v>7</v>
      </c>
      <c r="D726" t="str">
        <f t="shared" si="36"/>
        <v>564061</v>
      </c>
      <c r="E726" t="s">
        <v>806</v>
      </c>
      <c r="F726" t="s">
        <v>328</v>
      </c>
    </row>
    <row r="727" spans="1:6" x14ac:dyDescent="0.25">
      <c r="A727" t="str">
        <f>"26540819"</f>
        <v>26540819</v>
      </c>
      <c r="B727" t="s">
        <v>820</v>
      </c>
      <c r="C727" t="s">
        <v>7</v>
      </c>
      <c r="D727" t="str">
        <f t="shared" si="36"/>
        <v>564061</v>
      </c>
      <c r="E727" t="s">
        <v>806</v>
      </c>
      <c r="F727" t="s">
        <v>9</v>
      </c>
    </row>
    <row r="728" spans="1:6" x14ac:dyDescent="0.25">
      <c r="A728" t="str">
        <f>"70582963"</f>
        <v>70582963</v>
      </c>
      <c r="B728" t="s">
        <v>821</v>
      </c>
      <c r="C728" t="s">
        <v>7</v>
      </c>
      <c r="D728" t="str">
        <f t="shared" si="36"/>
        <v>564061</v>
      </c>
      <c r="E728" t="s">
        <v>806</v>
      </c>
      <c r="F728" t="s">
        <v>11</v>
      </c>
    </row>
    <row r="729" spans="1:6" x14ac:dyDescent="0.25">
      <c r="A729" t="str">
        <f>"02309408"</f>
        <v>02309408</v>
      </c>
      <c r="B729" t="s">
        <v>822</v>
      </c>
      <c r="C729" t="s">
        <v>7</v>
      </c>
      <c r="D729" t="str">
        <f t="shared" si="36"/>
        <v>564061</v>
      </c>
      <c r="E729" t="s">
        <v>806</v>
      </c>
      <c r="F729" t="s">
        <v>11</v>
      </c>
    </row>
    <row r="730" spans="1:6" x14ac:dyDescent="0.25">
      <c r="A730" t="str">
        <f>"27057127"</f>
        <v>27057127</v>
      </c>
      <c r="B730" t="s">
        <v>823</v>
      </c>
      <c r="C730" t="s">
        <v>7</v>
      </c>
      <c r="D730" t="str">
        <f t="shared" si="36"/>
        <v>564061</v>
      </c>
      <c r="E730" t="s">
        <v>806</v>
      </c>
      <c r="F730" t="s">
        <v>424</v>
      </c>
    </row>
    <row r="731" spans="1:6" x14ac:dyDescent="0.25">
      <c r="A731" t="str">
        <f>"64040330"</f>
        <v>64040330</v>
      </c>
      <c r="B731" t="s">
        <v>824</v>
      </c>
      <c r="C731" t="s">
        <v>7</v>
      </c>
      <c r="D731" t="str">
        <f t="shared" si="36"/>
        <v>564061</v>
      </c>
      <c r="E731" t="s">
        <v>806</v>
      </c>
      <c r="F731" t="s">
        <v>38</v>
      </c>
    </row>
    <row r="732" spans="1:6" x14ac:dyDescent="0.25">
      <c r="A732" t="str">
        <f>"46744843"</f>
        <v>46744843</v>
      </c>
      <c r="B732" t="s">
        <v>825</v>
      </c>
      <c r="C732" t="s">
        <v>7</v>
      </c>
      <c r="D732" t="str">
        <f t="shared" si="36"/>
        <v>564061</v>
      </c>
      <c r="E732" t="s">
        <v>806</v>
      </c>
      <c r="F732" t="s">
        <v>38</v>
      </c>
    </row>
    <row r="733" spans="1:6" x14ac:dyDescent="0.25">
      <c r="A733" t="str">
        <f>"22834222"</f>
        <v>22834222</v>
      </c>
      <c r="B733" t="s">
        <v>826</v>
      </c>
      <c r="C733" t="s">
        <v>7</v>
      </c>
      <c r="D733" t="str">
        <f t="shared" si="36"/>
        <v>564061</v>
      </c>
      <c r="E733" t="s">
        <v>806</v>
      </c>
      <c r="F733" t="s">
        <v>38</v>
      </c>
    </row>
    <row r="734" spans="1:6" x14ac:dyDescent="0.25">
      <c r="A734" t="str">
        <f>"22724362"</f>
        <v>22724362</v>
      </c>
      <c r="B734" t="s">
        <v>827</v>
      </c>
      <c r="C734" t="s">
        <v>7</v>
      </c>
      <c r="D734" t="str">
        <f t="shared" si="36"/>
        <v>564061</v>
      </c>
      <c r="E734" t="s">
        <v>806</v>
      </c>
      <c r="F734" t="s">
        <v>11</v>
      </c>
    </row>
    <row r="735" spans="1:6" x14ac:dyDescent="0.25">
      <c r="A735" t="str">
        <f>"68982950"</f>
        <v>68982950</v>
      </c>
      <c r="B735" t="s">
        <v>828</v>
      </c>
      <c r="C735" t="s">
        <v>7</v>
      </c>
      <c r="D735" t="str">
        <f t="shared" si="36"/>
        <v>564061</v>
      </c>
      <c r="E735" t="s">
        <v>806</v>
      </c>
      <c r="F735" t="s">
        <v>11</v>
      </c>
    </row>
    <row r="736" spans="1:6" x14ac:dyDescent="0.25">
      <c r="A736" t="str">
        <f>"21744734"</f>
        <v>21744734</v>
      </c>
      <c r="B736" t="s">
        <v>829</v>
      </c>
      <c r="C736" t="s">
        <v>7</v>
      </c>
      <c r="D736" t="str">
        <f t="shared" si="36"/>
        <v>564061</v>
      </c>
      <c r="E736" t="s">
        <v>806</v>
      </c>
      <c r="F736" t="s">
        <v>11</v>
      </c>
    </row>
    <row r="737" spans="1:6" x14ac:dyDescent="0.25">
      <c r="A737" t="str">
        <f>"22836730"</f>
        <v>22836730</v>
      </c>
      <c r="B737" t="s">
        <v>830</v>
      </c>
      <c r="C737" t="s">
        <v>7</v>
      </c>
      <c r="D737" t="str">
        <f t="shared" si="36"/>
        <v>564061</v>
      </c>
      <c r="E737" t="s">
        <v>806</v>
      </c>
      <c r="F737" t="s">
        <v>11</v>
      </c>
    </row>
    <row r="738" spans="1:6" x14ac:dyDescent="0.25">
      <c r="A738" t="str">
        <f>"08541426"</f>
        <v>08541426</v>
      </c>
      <c r="B738" t="s">
        <v>831</v>
      </c>
      <c r="C738" t="s">
        <v>7</v>
      </c>
      <c r="D738" t="str">
        <f t="shared" si="36"/>
        <v>564061</v>
      </c>
      <c r="E738" t="s">
        <v>806</v>
      </c>
      <c r="F738" t="s">
        <v>62</v>
      </c>
    </row>
    <row r="739" spans="1:6" x14ac:dyDescent="0.25">
      <c r="A739" t="str">
        <f>"64039498"</f>
        <v>64039498</v>
      </c>
      <c r="B739" t="s">
        <v>832</v>
      </c>
      <c r="C739" t="s">
        <v>43</v>
      </c>
      <c r="D739" t="str">
        <f t="shared" si="36"/>
        <v>564061</v>
      </c>
      <c r="E739" t="s">
        <v>806</v>
      </c>
      <c r="F739" t="s">
        <v>44</v>
      </c>
    </row>
    <row r="740" spans="1:6" x14ac:dyDescent="0.25">
      <c r="A740" t="str">
        <f>"46746382"</f>
        <v>46746382</v>
      </c>
      <c r="B740" t="s">
        <v>833</v>
      </c>
      <c r="C740" t="s">
        <v>7</v>
      </c>
      <c r="D740" t="str">
        <f t="shared" si="36"/>
        <v>564061</v>
      </c>
      <c r="E740" t="s">
        <v>806</v>
      </c>
      <c r="F740" t="s">
        <v>834</v>
      </c>
    </row>
    <row r="741" spans="1:6" x14ac:dyDescent="0.25">
      <c r="A741" t="str">
        <f>"44224923"</f>
        <v>44224923</v>
      </c>
      <c r="B741" t="s">
        <v>835</v>
      </c>
      <c r="C741" t="s">
        <v>7</v>
      </c>
      <c r="D741" t="str">
        <f t="shared" si="36"/>
        <v>564061</v>
      </c>
      <c r="E741" t="s">
        <v>806</v>
      </c>
      <c r="F741" t="s">
        <v>11</v>
      </c>
    </row>
    <row r="742" spans="1:6" x14ac:dyDescent="0.25">
      <c r="A742" t="str">
        <f>"75143488"</f>
        <v>75143488</v>
      </c>
      <c r="B742" t="s">
        <v>836</v>
      </c>
      <c r="C742" t="s">
        <v>726</v>
      </c>
      <c r="D742" t="str">
        <f t="shared" si="36"/>
        <v>564061</v>
      </c>
      <c r="E742" t="s">
        <v>806</v>
      </c>
      <c r="F742" t="s">
        <v>837</v>
      </c>
    </row>
    <row r="743" spans="1:6" x14ac:dyDescent="0.25">
      <c r="A743" t="str">
        <f>"49112155"</f>
        <v>49112155</v>
      </c>
      <c r="B743" t="s">
        <v>838</v>
      </c>
      <c r="C743" t="s">
        <v>15</v>
      </c>
      <c r="D743" t="str">
        <f t="shared" si="36"/>
        <v>564061</v>
      </c>
      <c r="E743" t="s">
        <v>806</v>
      </c>
      <c r="F743" t="s">
        <v>16</v>
      </c>
    </row>
    <row r="744" spans="1:6" x14ac:dyDescent="0.25">
      <c r="A744" t="str">
        <f>"64039030"</f>
        <v>64039030</v>
      </c>
      <c r="B744" t="s">
        <v>839</v>
      </c>
      <c r="C744" t="s">
        <v>15</v>
      </c>
      <c r="D744" t="str">
        <f t="shared" si="36"/>
        <v>564061</v>
      </c>
      <c r="E744" t="s">
        <v>806</v>
      </c>
      <c r="F744" t="s">
        <v>16</v>
      </c>
    </row>
    <row r="745" spans="1:6" x14ac:dyDescent="0.25">
      <c r="A745" t="str">
        <f>"64039021"</f>
        <v>64039021</v>
      </c>
      <c r="B745" t="s">
        <v>840</v>
      </c>
      <c r="C745" t="s">
        <v>15</v>
      </c>
      <c r="D745" t="str">
        <f t="shared" si="36"/>
        <v>564061</v>
      </c>
      <c r="E745" t="s">
        <v>806</v>
      </c>
      <c r="F745" t="s">
        <v>16</v>
      </c>
    </row>
    <row r="746" spans="1:6" x14ac:dyDescent="0.25">
      <c r="A746" t="str">
        <f>"17930243"</f>
        <v>17930243</v>
      </c>
      <c r="B746" t="s">
        <v>841</v>
      </c>
      <c r="C746" t="s">
        <v>7</v>
      </c>
      <c r="D746" t="str">
        <f t="shared" si="36"/>
        <v>564061</v>
      </c>
      <c r="E746" t="s">
        <v>806</v>
      </c>
      <c r="F746" t="s">
        <v>62</v>
      </c>
    </row>
    <row r="747" spans="1:6" x14ac:dyDescent="0.25">
      <c r="A747" t="str">
        <f>"69291641"</f>
        <v>69291641</v>
      </c>
      <c r="B747" t="s">
        <v>842</v>
      </c>
      <c r="C747" t="s">
        <v>7</v>
      </c>
      <c r="D747" t="str">
        <f t="shared" si="36"/>
        <v>564061</v>
      </c>
      <c r="E747" t="s">
        <v>806</v>
      </c>
      <c r="F747" t="s">
        <v>11</v>
      </c>
    </row>
    <row r="748" spans="1:6" x14ac:dyDescent="0.25">
      <c r="A748" t="str">
        <f>"17304458"</f>
        <v>17304458</v>
      </c>
      <c r="B748" t="s">
        <v>843</v>
      </c>
      <c r="C748" t="s">
        <v>7</v>
      </c>
      <c r="D748" t="str">
        <f t="shared" si="36"/>
        <v>564061</v>
      </c>
      <c r="E748" t="s">
        <v>806</v>
      </c>
      <c r="F748" t="s">
        <v>29</v>
      </c>
    </row>
    <row r="749" spans="1:6" x14ac:dyDescent="0.25">
      <c r="A749" t="str">
        <f>"46745009"</f>
        <v>46745009</v>
      </c>
      <c r="B749" t="s">
        <v>844</v>
      </c>
      <c r="C749" t="s">
        <v>7</v>
      </c>
      <c r="D749" t="str">
        <f t="shared" si="36"/>
        <v>564061</v>
      </c>
      <c r="E749" t="s">
        <v>806</v>
      </c>
      <c r="F749" t="s">
        <v>9</v>
      </c>
    </row>
    <row r="750" spans="1:6" x14ac:dyDescent="0.25">
      <c r="A750" t="str">
        <f>"44225032"</f>
        <v>44225032</v>
      </c>
      <c r="B750" t="s">
        <v>845</v>
      </c>
      <c r="C750" t="s">
        <v>15</v>
      </c>
      <c r="D750" t="str">
        <f t="shared" si="36"/>
        <v>564061</v>
      </c>
      <c r="E750" t="s">
        <v>806</v>
      </c>
      <c r="F750" t="s">
        <v>9</v>
      </c>
    </row>
    <row r="751" spans="1:6" x14ac:dyDescent="0.25">
      <c r="A751" t="str">
        <f>"04751493"</f>
        <v>04751493</v>
      </c>
      <c r="B751" t="s">
        <v>846</v>
      </c>
      <c r="C751" t="s">
        <v>7</v>
      </c>
      <c r="D751" t="str">
        <f t="shared" si="36"/>
        <v>564061</v>
      </c>
      <c r="E751" t="s">
        <v>806</v>
      </c>
      <c r="F751" t="s">
        <v>35</v>
      </c>
    </row>
    <row r="752" spans="1:6" x14ac:dyDescent="0.25">
      <c r="A752" t="str">
        <f>"08540861"</f>
        <v>08540861</v>
      </c>
      <c r="B752" t="s">
        <v>847</v>
      </c>
      <c r="C752" t="s">
        <v>7</v>
      </c>
      <c r="D752" t="str">
        <f t="shared" si="36"/>
        <v>564061</v>
      </c>
      <c r="E752" t="s">
        <v>806</v>
      </c>
      <c r="F752" t="s">
        <v>62</v>
      </c>
    </row>
    <row r="753" spans="1:6" x14ac:dyDescent="0.25">
      <c r="A753" t="str">
        <f>"08541981"</f>
        <v>08541981</v>
      </c>
      <c r="B753" t="s">
        <v>848</v>
      </c>
      <c r="C753" t="s">
        <v>7</v>
      </c>
      <c r="D753" t="str">
        <f t="shared" si="36"/>
        <v>564061</v>
      </c>
      <c r="E753" t="s">
        <v>806</v>
      </c>
      <c r="F753" t="s">
        <v>62</v>
      </c>
    </row>
    <row r="754" spans="1:6" x14ac:dyDescent="0.25">
      <c r="A754" t="str">
        <f>"01650807"</f>
        <v>01650807</v>
      </c>
      <c r="B754" t="s">
        <v>849</v>
      </c>
      <c r="C754" t="s">
        <v>7</v>
      </c>
      <c r="D754" t="str">
        <f t="shared" si="36"/>
        <v>564061</v>
      </c>
      <c r="E754" t="s">
        <v>806</v>
      </c>
      <c r="F754" t="s">
        <v>11</v>
      </c>
    </row>
    <row r="755" spans="1:6" x14ac:dyDescent="0.25">
      <c r="A755" t="str">
        <f>"70979910"</f>
        <v>70979910</v>
      </c>
      <c r="B755" t="s">
        <v>850</v>
      </c>
      <c r="C755" t="s">
        <v>15</v>
      </c>
      <c r="D755" t="str">
        <f t="shared" si="36"/>
        <v>564061</v>
      </c>
      <c r="E755" t="s">
        <v>806</v>
      </c>
      <c r="F755" t="s">
        <v>29</v>
      </c>
    </row>
    <row r="756" spans="1:6" x14ac:dyDescent="0.25">
      <c r="A756" t="str">
        <f>"18383548"</f>
        <v>18383548</v>
      </c>
      <c r="B756" t="s">
        <v>851</v>
      </c>
      <c r="C756" t="s">
        <v>20</v>
      </c>
      <c r="D756" t="str">
        <f t="shared" si="36"/>
        <v>564061</v>
      </c>
      <c r="E756" t="s">
        <v>806</v>
      </c>
      <c r="F756" t="s">
        <v>21</v>
      </c>
    </row>
    <row r="757" spans="1:6" x14ac:dyDescent="0.25">
      <c r="A757" t="str">
        <f>"70844151"</f>
        <v>70844151</v>
      </c>
      <c r="B757" t="s">
        <v>852</v>
      </c>
      <c r="C757" t="s">
        <v>15</v>
      </c>
      <c r="D757" t="str">
        <f t="shared" ref="D757:D764" si="37">"561584"</f>
        <v>561584</v>
      </c>
      <c r="E757" t="s">
        <v>853</v>
      </c>
      <c r="F757" t="s">
        <v>29</v>
      </c>
    </row>
    <row r="758" spans="1:6" x14ac:dyDescent="0.25">
      <c r="A758" t="str">
        <f>"26542897"</f>
        <v>26542897</v>
      </c>
      <c r="B758" t="s">
        <v>854</v>
      </c>
      <c r="C758" t="s">
        <v>7</v>
      </c>
      <c r="D758" t="str">
        <f t="shared" si="37"/>
        <v>561584</v>
      </c>
      <c r="E758" t="s">
        <v>853</v>
      </c>
      <c r="F758" t="s">
        <v>11</v>
      </c>
    </row>
    <row r="759" spans="1:6" x14ac:dyDescent="0.25">
      <c r="A759" t="str">
        <f>"68298528"</f>
        <v>68298528</v>
      </c>
      <c r="B759" t="s">
        <v>855</v>
      </c>
      <c r="C759" t="s">
        <v>7</v>
      </c>
      <c r="D759" t="str">
        <f t="shared" si="37"/>
        <v>561584</v>
      </c>
      <c r="E759" t="s">
        <v>853</v>
      </c>
      <c r="F759" t="s">
        <v>38</v>
      </c>
    </row>
    <row r="760" spans="1:6" x14ac:dyDescent="0.25">
      <c r="A760" t="str">
        <f>"27043924"</f>
        <v>27043924</v>
      </c>
      <c r="B760" t="s">
        <v>856</v>
      </c>
      <c r="C760" t="s">
        <v>7</v>
      </c>
      <c r="D760" t="str">
        <f t="shared" si="37"/>
        <v>561584</v>
      </c>
      <c r="E760" t="s">
        <v>853</v>
      </c>
      <c r="F760" t="s">
        <v>11</v>
      </c>
    </row>
    <row r="761" spans="1:6" x14ac:dyDescent="0.25">
      <c r="A761" t="str">
        <f>"23018143"</f>
        <v>23018143</v>
      </c>
      <c r="B761" t="s">
        <v>857</v>
      </c>
      <c r="C761" t="s">
        <v>7</v>
      </c>
      <c r="D761" t="str">
        <f t="shared" si="37"/>
        <v>561584</v>
      </c>
      <c r="E761" t="s">
        <v>853</v>
      </c>
      <c r="F761" t="s">
        <v>11</v>
      </c>
    </row>
    <row r="762" spans="1:6" x14ac:dyDescent="0.25">
      <c r="A762" t="str">
        <f>"63778301"</f>
        <v>63778301</v>
      </c>
      <c r="B762" t="s">
        <v>858</v>
      </c>
      <c r="C762" t="s">
        <v>7</v>
      </c>
      <c r="D762" t="str">
        <f t="shared" si="37"/>
        <v>561584</v>
      </c>
      <c r="E762" t="s">
        <v>853</v>
      </c>
      <c r="F762" t="s">
        <v>35</v>
      </c>
    </row>
    <row r="763" spans="1:6" x14ac:dyDescent="0.25">
      <c r="A763" t="str">
        <f>"48282383"</f>
        <v>48282383</v>
      </c>
      <c r="B763" t="s">
        <v>859</v>
      </c>
      <c r="C763" t="s">
        <v>7</v>
      </c>
      <c r="D763" t="str">
        <f t="shared" si="37"/>
        <v>561584</v>
      </c>
      <c r="E763" t="s">
        <v>853</v>
      </c>
      <c r="F763" t="s">
        <v>9</v>
      </c>
    </row>
    <row r="764" spans="1:6" x14ac:dyDescent="0.25">
      <c r="A764" t="str">
        <f>"06256716"</f>
        <v>06256716</v>
      </c>
      <c r="B764" t="s">
        <v>860</v>
      </c>
      <c r="C764" t="s">
        <v>7</v>
      </c>
      <c r="D764" t="str">
        <f t="shared" si="37"/>
        <v>561584</v>
      </c>
      <c r="E764" t="s">
        <v>853</v>
      </c>
      <c r="F764" t="s">
        <v>11</v>
      </c>
    </row>
    <row r="765" spans="1:6" x14ac:dyDescent="0.25">
      <c r="A765" t="str">
        <f>"26616181"</f>
        <v>26616181</v>
      </c>
      <c r="B765" t="s">
        <v>861</v>
      </c>
      <c r="C765" t="s">
        <v>7</v>
      </c>
      <c r="D765" t="str">
        <f>"577111"</f>
        <v>577111</v>
      </c>
      <c r="E765" t="s">
        <v>862</v>
      </c>
      <c r="F765" t="s">
        <v>11</v>
      </c>
    </row>
    <row r="766" spans="1:6" x14ac:dyDescent="0.25">
      <c r="A766" t="str">
        <f>"70147124"</f>
        <v>70147124</v>
      </c>
      <c r="B766" t="s">
        <v>863</v>
      </c>
      <c r="C766" t="s">
        <v>15</v>
      </c>
      <c r="D766" t="str">
        <f>"577111"</f>
        <v>577111</v>
      </c>
      <c r="E766" t="s">
        <v>862</v>
      </c>
      <c r="F766" t="s">
        <v>16</v>
      </c>
    </row>
    <row r="767" spans="1:6" x14ac:dyDescent="0.25">
      <c r="A767" t="str">
        <f>"08440760"</f>
        <v>08440760</v>
      </c>
      <c r="B767" t="s">
        <v>864</v>
      </c>
      <c r="C767" t="s">
        <v>7</v>
      </c>
      <c r="D767" t="str">
        <f>"577111"</f>
        <v>577111</v>
      </c>
      <c r="E767" t="s">
        <v>862</v>
      </c>
      <c r="F767" t="s">
        <v>865</v>
      </c>
    </row>
    <row r="768" spans="1:6" x14ac:dyDescent="0.25">
      <c r="A768" t="str">
        <f>"49296132"</f>
        <v>49296132</v>
      </c>
      <c r="B768" t="s">
        <v>866</v>
      </c>
      <c r="C768" t="s">
        <v>15</v>
      </c>
      <c r="D768" t="str">
        <f>"574201"</f>
        <v>574201</v>
      </c>
      <c r="E768" t="s">
        <v>867</v>
      </c>
      <c r="F768" t="s">
        <v>16</v>
      </c>
    </row>
    <row r="769" spans="1:6" x14ac:dyDescent="0.25">
      <c r="A769" t="str">
        <f>"45598215"</f>
        <v>45598215</v>
      </c>
      <c r="B769" t="s">
        <v>868</v>
      </c>
      <c r="C769" t="s">
        <v>7</v>
      </c>
      <c r="D769" t="str">
        <f>"574201"</f>
        <v>574201</v>
      </c>
      <c r="E769" t="s">
        <v>867</v>
      </c>
      <c r="F769" t="s">
        <v>65</v>
      </c>
    </row>
    <row r="770" spans="1:6" x14ac:dyDescent="0.25">
      <c r="A770" t="str">
        <f>"27049566"</f>
        <v>27049566</v>
      </c>
      <c r="B770" t="s">
        <v>869</v>
      </c>
      <c r="C770" t="s">
        <v>7</v>
      </c>
      <c r="D770" t="str">
        <f t="shared" ref="D770:D790" si="38">"577120"</f>
        <v>577120</v>
      </c>
      <c r="E770" t="s">
        <v>870</v>
      </c>
      <c r="F770" t="s">
        <v>11</v>
      </c>
    </row>
    <row r="771" spans="1:6" x14ac:dyDescent="0.25">
      <c r="A771" t="str">
        <f>"62014986"</f>
        <v>62014986</v>
      </c>
      <c r="B771" t="s">
        <v>871</v>
      </c>
      <c r="C771" t="s">
        <v>15</v>
      </c>
      <c r="D771" t="str">
        <f t="shared" si="38"/>
        <v>577120</v>
      </c>
      <c r="E771" t="s">
        <v>870</v>
      </c>
      <c r="F771" t="s">
        <v>29</v>
      </c>
    </row>
    <row r="772" spans="1:6" x14ac:dyDescent="0.25">
      <c r="A772" t="str">
        <f>"49295209"</f>
        <v>49295209</v>
      </c>
      <c r="B772" t="s">
        <v>872</v>
      </c>
      <c r="C772" t="s">
        <v>15</v>
      </c>
      <c r="D772" t="str">
        <f t="shared" si="38"/>
        <v>577120</v>
      </c>
      <c r="E772" t="s">
        <v>870</v>
      </c>
      <c r="F772" t="s">
        <v>35</v>
      </c>
    </row>
    <row r="773" spans="1:6" x14ac:dyDescent="0.25">
      <c r="A773" t="str">
        <f>"01634780"</f>
        <v>01634780</v>
      </c>
      <c r="B773" t="s">
        <v>873</v>
      </c>
      <c r="C773" t="s">
        <v>7</v>
      </c>
      <c r="D773" t="str">
        <f t="shared" si="38"/>
        <v>577120</v>
      </c>
      <c r="E773" t="s">
        <v>870</v>
      </c>
      <c r="F773" t="s">
        <v>11</v>
      </c>
    </row>
    <row r="774" spans="1:6" x14ac:dyDescent="0.25">
      <c r="A774" t="str">
        <f>"21058954"</f>
        <v>21058954</v>
      </c>
      <c r="B774" t="s">
        <v>874</v>
      </c>
      <c r="C774" t="s">
        <v>7</v>
      </c>
      <c r="D774" t="str">
        <f t="shared" si="38"/>
        <v>577120</v>
      </c>
      <c r="E774" t="s">
        <v>870</v>
      </c>
      <c r="F774" t="s">
        <v>62</v>
      </c>
    </row>
    <row r="775" spans="1:6" x14ac:dyDescent="0.25">
      <c r="A775" t="str">
        <f>"22717897"</f>
        <v>22717897</v>
      </c>
      <c r="B775" t="s">
        <v>875</v>
      </c>
      <c r="C775" t="s">
        <v>7</v>
      </c>
      <c r="D775" t="str">
        <f t="shared" si="38"/>
        <v>577120</v>
      </c>
      <c r="E775" t="s">
        <v>870</v>
      </c>
      <c r="F775" t="s">
        <v>11</v>
      </c>
    </row>
    <row r="776" spans="1:6" x14ac:dyDescent="0.25">
      <c r="A776" t="str">
        <f>"70156123"</f>
        <v>70156123</v>
      </c>
      <c r="B776" t="s">
        <v>876</v>
      </c>
      <c r="C776" t="s">
        <v>15</v>
      </c>
      <c r="D776" t="str">
        <f t="shared" si="38"/>
        <v>577120</v>
      </c>
      <c r="E776" t="s">
        <v>870</v>
      </c>
      <c r="F776" t="s">
        <v>11</v>
      </c>
    </row>
    <row r="777" spans="1:6" x14ac:dyDescent="0.25">
      <c r="A777" t="str">
        <f>"05000670"</f>
        <v>05000670</v>
      </c>
      <c r="B777" t="s">
        <v>877</v>
      </c>
      <c r="C777" t="s">
        <v>15</v>
      </c>
      <c r="D777" t="str">
        <f t="shared" si="38"/>
        <v>577120</v>
      </c>
      <c r="E777" t="s">
        <v>870</v>
      </c>
      <c r="F777" t="s">
        <v>11</v>
      </c>
    </row>
    <row r="778" spans="1:6" x14ac:dyDescent="0.25">
      <c r="A778" t="str">
        <f>"26579201"</f>
        <v>26579201</v>
      </c>
      <c r="B778" t="s">
        <v>878</v>
      </c>
      <c r="C778" t="s">
        <v>7</v>
      </c>
      <c r="D778" t="str">
        <f t="shared" si="38"/>
        <v>577120</v>
      </c>
      <c r="E778" t="s">
        <v>870</v>
      </c>
      <c r="F778" t="s">
        <v>35</v>
      </c>
    </row>
    <row r="779" spans="1:6" x14ac:dyDescent="0.25">
      <c r="A779" t="str">
        <f>"22754938"</f>
        <v>22754938</v>
      </c>
      <c r="B779" t="s">
        <v>879</v>
      </c>
      <c r="C779" t="s">
        <v>7</v>
      </c>
      <c r="D779" t="str">
        <f t="shared" si="38"/>
        <v>577120</v>
      </c>
      <c r="E779" t="s">
        <v>870</v>
      </c>
      <c r="F779" t="s">
        <v>29</v>
      </c>
    </row>
    <row r="780" spans="1:6" x14ac:dyDescent="0.25">
      <c r="A780" t="str">
        <f>"45597987"</f>
        <v>45597987</v>
      </c>
      <c r="B780" t="s">
        <v>880</v>
      </c>
      <c r="C780" t="s">
        <v>7</v>
      </c>
      <c r="D780" t="str">
        <f t="shared" si="38"/>
        <v>577120</v>
      </c>
      <c r="E780" t="s">
        <v>870</v>
      </c>
      <c r="F780" t="s">
        <v>38</v>
      </c>
    </row>
    <row r="781" spans="1:6" x14ac:dyDescent="0.25">
      <c r="A781" t="str">
        <f>"10766146"</f>
        <v>10766146</v>
      </c>
      <c r="B781" t="s">
        <v>881</v>
      </c>
      <c r="C781" t="s">
        <v>7</v>
      </c>
      <c r="D781" t="str">
        <f t="shared" si="38"/>
        <v>577120</v>
      </c>
      <c r="E781" t="s">
        <v>870</v>
      </c>
      <c r="F781" t="s">
        <v>62</v>
      </c>
    </row>
    <row r="782" spans="1:6" x14ac:dyDescent="0.25">
      <c r="A782" t="str">
        <f>"49294636"</f>
        <v>49294636</v>
      </c>
      <c r="B782" t="s">
        <v>882</v>
      </c>
      <c r="C782" t="s">
        <v>15</v>
      </c>
      <c r="D782" t="str">
        <f t="shared" si="38"/>
        <v>577120</v>
      </c>
      <c r="E782" t="s">
        <v>870</v>
      </c>
      <c r="F782" t="s">
        <v>9</v>
      </c>
    </row>
    <row r="783" spans="1:6" x14ac:dyDescent="0.25">
      <c r="A783" t="str">
        <f>"75102307"</f>
        <v>75102307</v>
      </c>
      <c r="B783" t="s">
        <v>883</v>
      </c>
      <c r="C783" t="s">
        <v>15</v>
      </c>
      <c r="D783" t="str">
        <f t="shared" si="38"/>
        <v>577120</v>
      </c>
      <c r="E783" t="s">
        <v>870</v>
      </c>
      <c r="F783" t="s">
        <v>11</v>
      </c>
    </row>
    <row r="784" spans="1:6" x14ac:dyDescent="0.25">
      <c r="A784" t="str">
        <f>"62012657"</f>
        <v>62012657</v>
      </c>
      <c r="B784" t="s">
        <v>884</v>
      </c>
      <c r="C784" t="s">
        <v>43</v>
      </c>
      <c r="D784" t="str">
        <f t="shared" si="38"/>
        <v>577120</v>
      </c>
      <c r="E784" t="s">
        <v>870</v>
      </c>
      <c r="F784" t="s">
        <v>44</v>
      </c>
    </row>
    <row r="785" spans="1:6" x14ac:dyDescent="0.25">
      <c r="A785" t="str">
        <f>"62013696"</f>
        <v>62013696</v>
      </c>
      <c r="B785" t="s">
        <v>885</v>
      </c>
      <c r="C785" t="s">
        <v>15</v>
      </c>
      <c r="D785" t="str">
        <f t="shared" si="38"/>
        <v>577120</v>
      </c>
      <c r="E785" t="s">
        <v>870</v>
      </c>
      <c r="F785" t="s">
        <v>16</v>
      </c>
    </row>
    <row r="786" spans="1:6" x14ac:dyDescent="0.25">
      <c r="A786" t="str">
        <f>"62012797"</f>
        <v>62012797</v>
      </c>
      <c r="B786" t="s">
        <v>886</v>
      </c>
      <c r="C786" t="s">
        <v>15</v>
      </c>
      <c r="D786" t="str">
        <f t="shared" si="38"/>
        <v>577120</v>
      </c>
      <c r="E786" t="s">
        <v>870</v>
      </c>
      <c r="F786" t="s">
        <v>16</v>
      </c>
    </row>
    <row r="787" spans="1:6" x14ac:dyDescent="0.25">
      <c r="A787" t="str">
        <f>"26655756"</f>
        <v>26655756</v>
      </c>
      <c r="B787" t="s">
        <v>887</v>
      </c>
      <c r="C787" t="s">
        <v>7</v>
      </c>
      <c r="D787" t="str">
        <f t="shared" si="38"/>
        <v>577120</v>
      </c>
      <c r="E787" t="s">
        <v>870</v>
      </c>
      <c r="F787" t="s">
        <v>11</v>
      </c>
    </row>
    <row r="788" spans="1:6" x14ac:dyDescent="0.25">
      <c r="A788" t="str">
        <f>"70904715"</f>
        <v>70904715</v>
      </c>
      <c r="B788" t="s">
        <v>888</v>
      </c>
      <c r="C788" t="s">
        <v>15</v>
      </c>
      <c r="D788" t="str">
        <f t="shared" si="38"/>
        <v>577120</v>
      </c>
      <c r="E788" t="s">
        <v>870</v>
      </c>
      <c r="F788" t="s">
        <v>9</v>
      </c>
    </row>
    <row r="789" spans="1:6" x14ac:dyDescent="0.25">
      <c r="A789" t="str">
        <f>"49296167"</f>
        <v>49296167</v>
      </c>
      <c r="B789" t="s">
        <v>889</v>
      </c>
      <c r="C789" t="s">
        <v>15</v>
      </c>
      <c r="D789" t="str">
        <f t="shared" si="38"/>
        <v>577120</v>
      </c>
      <c r="E789" t="s">
        <v>870</v>
      </c>
      <c r="F789" t="s">
        <v>9</v>
      </c>
    </row>
    <row r="790" spans="1:6" x14ac:dyDescent="0.25">
      <c r="A790" t="str">
        <f>"45598240"</f>
        <v>45598240</v>
      </c>
      <c r="B790" t="s">
        <v>890</v>
      </c>
      <c r="C790" t="s">
        <v>7</v>
      </c>
      <c r="D790" t="str">
        <f t="shared" si="38"/>
        <v>577120</v>
      </c>
      <c r="E790" t="s">
        <v>870</v>
      </c>
      <c r="F790" t="s">
        <v>65</v>
      </c>
    </row>
    <row r="791" spans="1:6" x14ac:dyDescent="0.25">
      <c r="A791" t="str">
        <f>"14002388"</f>
        <v>14002388</v>
      </c>
      <c r="B791" t="s">
        <v>891</v>
      </c>
      <c r="C791" t="s">
        <v>7</v>
      </c>
      <c r="D791" t="str">
        <f t="shared" ref="D791:D800" si="39">"561592"</f>
        <v>561592</v>
      </c>
      <c r="E791" t="s">
        <v>892</v>
      </c>
      <c r="F791" t="s">
        <v>29</v>
      </c>
    </row>
    <row r="792" spans="1:6" x14ac:dyDescent="0.25">
      <c r="A792" t="str">
        <f>"75125676"</f>
        <v>75125676</v>
      </c>
      <c r="B792" t="s">
        <v>893</v>
      </c>
      <c r="C792" t="s">
        <v>15</v>
      </c>
      <c r="D792" t="str">
        <f t="shared" si="39"/>
        <v>561592</v>
      </c>
      <c r="E792" t="s">
        <v>892</v>
      </c>
      <c r="F792" t="s">
        <v>29</v>
      </c>
    </row>
    <row r="793" spans="1:6" x14ac:dyDescent="0.25">
      <c r="A793" t="str">
        <f>"72034157"</f>
        <v>72034157</v>
      </c>
      <c r="B793" t="s">
        <v>894</v>
      </c>
      <c r="C793" t="s">
        <v>37</v>
      </c>
      <c r="D793" t="str">
        <f t="shared" si="39"/>
        <v>561592</v>
      </c>
      <c r="E793" t="s">
        <v>892</v>
      </c>
      <c r="F793" t="s">
        <v>38</v>
      </c>
    </row>
    <row r="794" spans="1:6" x14ac:dyDescent="0.25">
      <c r="A794" t="str">
        <f>"17358736"</f>
        <v>17358736</v>
      </c>
      <c r="B794" t="s">
        <v>895</v>
      </c>
      <c r="C794" t="s">
        <v>7</v>
      </c>
      <c r="D794" t="str">
        <f t="shared" si="39"/>
        <v>561592</v>
      </c>
      <c r="E794" t="s">
        <v>892</v>
      </c>
      <c r="F794" t="s">
        <v>11</v>
      </c>
    </row>
    <row r="795" spans="1:6" x14ac:dyDescent="0.25">
      <c r="A795" t="str">
        <f>"48282022"</f>
        <v>48282022</v>
      </c>
      <c r="B795" t="s">
        <v>896</v>
      </c>
      <c r="C795" t="s">
        <v>7</v>
      </c>
      <c r="D795" t="str">
        <f t="shared" si="39"/>
        <v>561592</v>
      </c>
      <c r="E795" t="s">
        <v>892</v>
      </c>
      <c r="F795" t="s">
        <v>38</v>
      </c>
    </row>
    <row r="796" spans="1:6" x14ac:dyDescent="0.25">
      <c r="A796" t="str">
        <f>"63778785"</f>
        <v>63778785</v>
      </c>
      <c r="B796" t="s">
        <v>897</v>
      </c>
      <c r="C796" t="s">
        <v>15</v>
      </c>
      <c r="D796" t="str">
        <f t="shared" si="39"/>
        <v>561592</v>
      </c>
      <c r="E796" t="s">
        <v>892</v>
      </c>
      <c r="F796" t="s">
        <v>16</v>
      </c>
    </row>
    <row r="797" spans="1:6" x14ac:dyDescent="0.25">
      <c r="A797" t="str">
        <f>"26526948"</f>
        <v>26526948</v>
      </c>
      <c r="B797" t="s">
        <v>898</v>
      </c>
      <c r="C797" t="s">
        <v>7</v>
      </c>
      <c r="D797" t="str">
        <f t="shared" si="39"/>
        <v>561592</v>
      </c>
      <c r="E797" t="s">
        <v>892</v>
      </c>
      <c r="F797" t="s">
        <v>11</v>
      </c>
    </row>
    <row r="798" spans="1:6" x14ac:dyDescent="0.25">
      <c r="A798" t="str">
        <f>"17653789"</f>
        <v>17653789</v>
      </c>
      <c r="B798" t="s">
        <v>899</v>
      </c>
      <c r="C798" t="s">
        <v>7</v>
      </c>
      <c r="D798" t="str">
        <f t="shared" si="39"/>
        <v>561592</v>
      </c>
      <c r="E798" t="s">
        <v>892</v>
      </c>
      <c r="F798" t="s">
        <v>11</v>
      </c>
    </row>
    <row r="799" spans="1:6" x14ac:dyDescent="0.25">
      <c r="A799" t="str">
        <f>"48282600"</f>
        <v>48282600</v>
      </c>
      <c r="B799" t="s">
        <v>900</v>
      </c>
      <c r="C799" t="s">
        <v>7</v>
      </c>
      <c r="D799" t="str">
        <f t="shared" si="39"/>
        <v>561592</v>
      </c>
      <c r="E799" t="s">
        <v>892</v>
      </c>
      <c r="F799" t="s">
        <v>9</v>
      </c>
    </row>
    <row r="800" spans="1:6" x14ac:dyDescent="0.25">
      <c r="A800" t="str">
        <f>"06756964"</f>
        <v>06756964</v>
      </c>
      <c r="B800" t="s">
        <v>901</v>
      </c>
      <c r="C800" t="s">
        <v>7</v>
      </c>
      <c r="D800" t="str">
        <f t="shared" si="39"/>
        <v>561592</v>
      </c>
      <c r="E800" t="s">
        <v>892</v>
      </c>
      <c r="F800" t="s">
        <v>11</v>
      </c>
    </row>
    <row r="801" spans="1:6" x14ac:dyDescent="0.25">
      <c r="A801" t="str">
        <f>"21766461"</f>
        <v>21766461</v>
      </c>
      <c r="B801" t="s">
        <v>902</v>
      </c>
      <c r="C801" t="s">
        <v>15</v>
      </c>
      <c r="D801" t="str">
        <f t="shared" ref="D801:D809" si="40">"561606"</f>
        <v>561606</v>
      </c>
      <c r="E801" t="s">
        <v>903</v>
      </c>
      <c r="F801" t="s">
        <v>29</v>
      </c>
    </row>
    <row r="802" spans="1:6" x14ac:dyDescent="0.25">
      <c r="A802" t="str">
        <f>"22759603"</f>
        <v>22759603</v>
      </c>
      <c r="B802" t="s">
        <v>904</v>
      </c>
      <c r="C802" t="s">
        <v>7</v>
      </c>
      <c r="D802" t="str">
        <f t="shared" si="40"/>
        <v>561606</v>
      </c>
      <c r="E802" t="s">
        <v>903</v>
      </c>
      <c r="F802" t="s">
        <v>11</v>
      </c>
    </row>
    <row r="803" spans="1:6" x14ac:dyDescent="0.25">
      <c r="A803" t="str">
        <f>"46750738"</f>
        <v>46750738</v>
      </c>
      <c r="B803" t="s">
        <v>905</v>
      </c>
      <c r="C803" t="s">
        <v>7</v>
      </c>
      <c r="D803" t="str">
        <f t="shared" si="40"/>
        <v>561606</v>
      </c>
      <c r="E803" t="s">
        <v>903</v>
      </c>
      <c r="F803" t="s">
        <v>38</v>
      </c>
    </row>
    <row r="804" spans="1:6" x14ac:dyDescent="0.25">
      <c r="A804" t="str">
        <f>"46750827"</f>
        <v>46750827</v>
      </c>
      <c r="B804" t="s">
        <v>906</v>
      </c>
      <c r="C804" t="s">
        <v>7</v>
      </c>
      <c r="D804" t="str">
        <f t="shared" si="40"/>
        <v>561606</v>
      </c>
      <c r="E804" t="s">
        <v>903</v>
      </c>
      <c r="F804" t="s">
        <v>38</v>
      </c>
    </row>
    <row r="805" spans="1:6" x14ac:dyDescent="0.25">
      <c r="A805" t="str">
        <f>"27018342"</f>
        <v>27018342</v>
      </c>
      <c r="B805" t="s">
        <v>907</v>
      </c>
      <c r="C805" t="s">
        <v>7</v>
      </c>
      <c r="D805" t="str">
        <f t="shared" si="40"/>
        <v>561606</v>
      </c>
      <c r="E805" t="s">
        <v>903</v>
      </c>
      <c r="F805" t="s">
        <v>11</v>
      </c>
    </row>
    <row r="806" spans="1:6" x14ac:dyDescent="0.25">
      <c r="A806" t="str">
        <f>"48282553"</f>
        <v>48282553</v>
      </c>
      <c r="B806" t="s">
        <v>908</v>
      </c>
      <c r="C806" t="s">
        <v>43</v>
      </c>
      <c r="D806" t="str">
        <f t="shared" si="40"/>
        <v>561606</v>
      </c>
      <c r="E806" t="s">
        <v>903</v>
      </c>
      <c r="F806" t="s">
        <v>44</v>
      </c>
    </row>
    <row r="807" spans="1:6" x14ac:dyDescent="0.25">
      <c r="A807" t="str">
        <f>"46750541"</f>
        <v>46750541</v>
      </c>
      <c r="B807" t="s">
        <v>909</v>
      </c>
      <c r="C807" t="s">
        <v>7</v>
      </c>
      <c r="D807" t="str">
        <f t="shared" si="40"/>
        <v>561606</v>
      </c>
      <c r="E807" t="s">
        <v>903</v>
      </c>
      <c r="F807" t="s">
        <v>11</v>
      </c>
    </row>
    <row r="808" spans="1:6" x14ac:dyDescent="0.25">
      <c r="A808" t="str">
        <f>"26607450"</f>
        <v>26607450</v>
      </c>
      <c r="B808" t="s">
        <v>910</v>
      </c>
      <c r="C808" t="s">
        <v>7</v>
      </c>
      <c r="D808" t="str">
        <f t="shared" si="40"/>
        <v>561606</v>
      </c>
      <c r="E808" t="s">
        <v>903</v>
      </c>
      <c r="F808" t="s">
        <v>11</v>
      </c>
    </row>
    <row r="809" spans="1:6" x14ac:dyDescent="0.25">
      <c r="A809" t="str">
        <f>"46750622"</f>
        <v>46750622</v>
      </c>
      <c r="B809" t="s">
        <v>911</v>
      </c>
      <c r="C809" t="s">
        <v>7</v>
      </c>
      <c r="D809" t="str">
        <f t="shared" si="40"/>
        <v>561606</v>
      </c>
      <c r="E809" t="s">
        <v>903</v>
      </c>
      <c r="F809" t="s">
        <v>9</v>
      </c>
    </row>
    <row r="810" spans="1:6" x14ac:dyDescent="0.25">
      <c r="A810" t="str">
        <f>"22872302"</f>
        <v>22872302</v>
      </c>
      <c r="B810" t="s">
        <v>912</v>
      </c>
      <c r="C810" t="s">
        <v>7</v>
      </c>
      <c r="D810" t="str">
        <f>"564079"</f>
        <v>564079</v>
      </c>
      <c r="E810" t="s">
        <v>913</v>
      </c>
      <c r="F810" t="s">
        <v>11</v>
      </c>
    </row>
    <row r="811" spans="1:6" x14ac:dyDescent="0.25">
      <c r="A811" t="str">
        <f>"66112087"</f>
        <v>66112087</v>
      </c>
      <c r="B811" t="s">
        <v>914</v>
      </c>
      <c r="C811" t="s">
        <v>7</v>
      </c>
      <c r="D811" t="str">
        <f>"564079"</f>
        <v>564079</v>
      </c>
      <c r="E811" t="s">
        <v>913</v>
      </c>
      <c r="F811" t="s">
        <v>9</v>
      </c>
    </row>
    <row r="812" spans="1:6" x14ac:dyDescent="0.25">
      <c r="A812" t="str">
        <f>"27055345"</f>
        <v>27055345</v>
      </c>
      <c r="B812" t="s">
        <v>915</v>
      </c>
      <c r="C812" t="s">
        <v>7</v>
      </c>
      <c r="D812" t="str">
        <f>"564079"</f>
        <v>564079</v>
      </c>
      <c r="E812" t="s">
        <v>913</v>
      </c>
      <c r="F812" t="s">
        <v>424</v>
      </c>
    </row>
    <row r="813" spans="1:6" x14ac:dyDescent="0.25">
      <c r="A813" t="str">
        <f>"49111744"</f>
        <v>49111744</v>
      </c>
      <c r="B813" t="s">
        <v>916</v>
      </c>
      <c r="C813" t="s">
        <v>15</v>
      </c>
      <c r="D813" t="str">
        <f>"564079"</f>
        <v>564079</v>
      </c>
      <c r="E813" t="s">
        <v>913</v>
      </c>
      <c r="F813" t="s">
        <v>16</v>
      </c>
    </row>
    <row r="814" spans="1:6" x14ac:dyDescent="0.25">
      <c r="A814" t="str">
        <f>"22880143"</f>
        <v>22880143</v>
      </c>
      <c r="B814" t="s">
        <v>917</v>
      </c>
      <c r="C814" t="s">
        <v>7</v>
      </c>
      <c r="D814" t="str">
        <f>"564079"</f>
        <v>564079</v>
      </c>
      <c r="E814" t="s">
        <v>913</v>
      </c>
      <c r="F814" t="s">
        <v>11</v>
      </c>
    </row>
    <row r="815" spans="1:6" x14ac:dyDescent="0.25">
      <c r="A815" t="str">
        <f>"05981778"</f>
        <v>05981778</v>
      </c>
      <c r="B815" t="s">
        <v>918</v>
      </c>
      <c r="C815" t="s">
        <v>7</v>
      </c>
      <c r="D815" t="str">
        <f t="shared" ref="D815:D827" si="41">"577146"</f>
        <v>577146</v>
      </c>
      <c r="E815" t="s">
        <v>919</v>
      </c>
      <c r="F815" t="s">
        <v>11</v>
      </c>
    </row>
    <row r="816" spans="1:6" x14ac:dyDescent="0.25">
      <c r="A816" t="str">
        <f>"06130232"</f>
        <v>06130232</v>
      </c>
      <c r="B816" t="s">
        <v>920</v>
      </c>
      <c r="C816" t="s">
        <v>7</v>
      </c>
      <c r="D816" t="str">
        <f t="shared" si="41"/>
        <v>577146</v>
      </c>
      <c r="E816" t="s">
        <v>919</v>
      </c>
      <c r="F816" t="s">
        <v>35</v>
      </c>
    </row>
    <row r="817" spans="1:6" x14ac:dyDescent="0.25">
      <c r="A817" t="str">
        <f>"00485241"</f>
        <v>00485241</v>
      </c>
      <c r="B817" t="s">
        <v>921</v>
      </c>
      <c r="C817" t="s">
        <v>7</v>
      </c>
      <c r="D817" t="str">
        <f t="shared" si="41"/>
        <v>577146</v>
      </c>
      <c r="E817" t="s">
        <v>919</v>
      </c>
      <c r="F817" t="s">
        <v>35</v>
      </c>
    </row>
    <row r="818" spans="1:6" x14ac:dyDescent="0.25">
      <c r="A818" t="str">
        <f>"45599521"</f>
        <v>45599521</v>
      </c>
      <c r="B818" t="s">
        <v>922</v>
      </c>
      <c r="C818" t="s">
        <v>7</v>
      </c>
      <c r="D818" t="str">
        <f t="shared" si="41"/>
        <v>577146</v>
      </c>
      <c r="E818" t="s">
        <v>919</v>
      </c>
      <c r="F818" t="s">
        <v>38</v>
      </c>
    </row>
    <row r="819" spans="1:6" x14ac:dyDescent="0.25">
      <c r="A819" t="str">
        <f>"45599611"</f>
        <v>45599611</v>
      </c>
      <c r="B819" t="s">
        <v>923</v>
      </c>
      <c r="C819" t="s">
        <v>7</v>
      </c>
      <c r="D819" t="str">
        <f t="shared" si="41"/>
        <v>577146</v>
      </c>
      <c r="E819" t="s">
        <v>919</v>
      </c>
      <c r="F819" t="s">
        <v>38</v>
      </c>
    </row>
    <row r="820" spans="1:6" x14ac:dyDescent="0.25">
      <c r="A820" t="str">
        <f>"10864458"</f>
        <v>10864458</v>
      </c>
      <c r="B820" t="s">
        <v>924</v>
      </c>
      <c r="C820" t="s">
        <v>7</v>
      </c>
      <c r="D820" t="str">
        <f t="shared" si="41"/>
        <v>577146</v>
      </c>
      <c r="E820" t="s">
        <v>919</v>
      </c>
      <c r="F820" t="s">
        <v>38</v>
      </c>
    </row>
    <row r="821" spans="1:6" x14ac:dyDescent="0.25">
      <c r="A821" t="str">
        <f>"09199411"</f>
        <v>09199411</v>
      </c>
      <c r="B821" t="s">
        <v>925</v>
      </c>
      <c r="C821" t="s">
        <v>7</v>
      </c>
      <c r="D821" t="str">
        <f t="shared" si="41"/>
        <v>577146</v>
      </c>
      <c r="E821" t="s">
        <v>919</v>
      </c>
      <c r="F821" t="s">
        <v>38</v>
      </c>
    </row>
    <row r="822" spans="1:6" x14ac:dyDescent="0.25">
      <c r="A822" t="str">
        <f>"25940775"</f>
        <v>25940775</v>
      </c>
      <c r="B822" t="s">
        <v>926</v>
      </c>
      <c r="C822" t="s">
        <v>325</v>
      </c>
      <c r="D822" t="str">
        <f t="shared" si="41"/>
        <v>577146</v>
      </c>
      <c r="E822" t="s">
        <v>919</v>
      </c>
      <c r="F822" t="s">
        <v>11</v>
      </c>
    </row>
    <row r="823" spans="1:6" x14ac:dyDescent="0.25">
      <c r="A823" t="str">
        <f>"26681021"</f>
        <v>26681021</v>
      </c>
      <c r="B823" t="s">
        <v>927</v>
      </c>
      <c r="C823" t="s">
        <v>7</v>
      </c>
      <c r="D823" t="str">
        <f t="shared" si="41"/>
        <v>577146</v>
      </c>
      <c r="E823" t="s">
        <v>919</v>
      </c>
      <c r="F823" t="s">
        <v>9</v>
      </c>
    </row>
    <row r="824" spans="1:6" x14ac:dyDescent="0.25">
      <c r="A824" t="str">
        <f>"62013572"</f>
        <v>62013572</v>
      </c>
      <c r="B824" t="s">
        <v>928</v>
      </c>
      <c r="C824" t="s">
        <v>15</v>
      </c>
      <c r="D824" t="str">
        <f t="shared" si="41"/>
        <v>577146</v>
      </c>
      <c r="E824" t="s">
        <v>919</v>
      </c>
      <c r="F824" t="s">
        <v>16</v>
      </c>
    </row>
    <row r="825" spans="1:6" x14ac:dyDescent="0.25">
      <c r="A825" t="str">
        <f>"62013611"</f>
        <v>62013611</v>
      </c>
      <c r="B825" t="s">
        <v>929</v>
      </c>
      <c r="C825" t="s">
        <v>15</v>
      </c>
      <c r="D825" t="str">
        <f t="shared" si="41"/>
        <v>577146</v>
      </c>
      <c r="E825" t="s">
        <v>919</v>
      </c>
      <c r="F825" t="s">
        <v>16</v>
      </c>
    </row>
    <row r="826" spans="1:6" x14ac:dyDescent="0.25">
      <c r="A826" t="str">
        <f>"75141591"</f>
        <v>75141591</v>
      </c>
      <c r="B826" t="s">
        <v>930</v>
      </c>
      <c r="C826" t="s">
        <v>15</v>
      </c>
      <c r="D826" t="str">
        <f t="shared" si="41"/>
        <v>577146</v>
      </c>
      <c r="E826" t="s">
        <v>919</v>
      </c>
      <c r="F826" t="s">
        <v>16</v>
      </c>
    </row>
    <row r="827" spans="1:6" x14ac:dyDescent="0.25">
      <c r="A827" t="str">
        <f>"15043274"</f>
        <v>15043274</v>
      </c>
      <c r="B827" t="s">
        <v>931</v>
      </c>
      <c r="C827" t="s">
        <v>7</v>
      </c>
      <c r="D827" t="str">
        <f t="shared" si="41"/>
        <v>577146</v>
      </c>
      <c r="E827" t="s">
        <v>919</v>
      </c>
      <c r="F827" t="s">
        <v>9</v>
      </c>
    </row>
    <row r="828" spans="1:6" x14ac:dyDescent="0.25">
      <c r="A828" t="str">
        <f>"65100387"</f>
        <v>65100387</v>
      </c>
      <c r="B828" t="s">
        <v>932</v>
      </c>
      <c r="C828" t="s">
        <v>15</v>
      </c>
      <c r="D828" t="str">
        <f t="shared" ref="D828:D859" si="42">"564095"</f>
        <v>564095</v>
      </c>
      <c r="E828" t="s">
        <v>933</v>
      </c>
      <c r="F828" t="s">
        <v>9</v>
      </c>
    </row>
    <row r="829" spans="1:6" x14ac:dyDescent="0.25">
      <c r="A829" t="str">
        <f>"70582815"</f>
        <v>70582815</v>
      </c>
      <c r="B829" t="s">
        <v>934</v>
      </c>
      <c r="C829" t="s">
        <v>7</v>
      </c>
      <c r="D829" t="str">
        <f t="shared" si="42"/>
        <v>564095</v>
      </c>
      <c r="E829" t="s">
        <v>933</v>
      </c>
      <c r="F829" t="s">
        <v>11</v>
      </c>
    </row>
    <row r="830" spans="1:6" x14ac:dyDescent="0.25">
      <c r="A830" t="str">
        <f>"22752030"</f>
        <v>22752030</v>
      </c>
      <c r="B830" t="s">
        <v>935</v>
      </c>
      <c r="C830" t="s">
        <v>7</v>
      </c>
      <c r="D830" t="str">
        <f t="shared" si="42"/>
        <v>564095</v>
      </c>
      <c r="E830" t="s">
        <v>933</v>
      </c>
      <c r="F830" t="s">
        <v>62</v>
      </c>
    </row>
    <row r="831" spans="1:6" x14ac:dyDescent="0.25">
      <c r="A831" t="str">
        <f>"26606089"</f>
        <v>26606089</v>
      </c>
      <c r="B831" t="s">
        <v>936</v>
      </c>
      <c r="C831" t="s">
        <v>7</v>
      </c>
      <c r="D831" t="str">
        <f t="shared" si="42"/>
        <v>564095</v>
      </c>
      <c r="E831" t="s">
        <v>933</v>
      </c>
      <c r="F831" t="s">
        <v>11</v>
      </c>
    </row>
    <row r="832" spans="1:6" x14ac:dyDescent="0.25">
      <c r="A832" t="str">
        <f>"08973598"</f>
        <v>08973598</v>
      </c>
      <c r="B832" t="s">
        <v>937</v>
      </c>
      <c r="C832" t="s">
        <v>7</v>
      </c>
      <c r="D832" t="str">
        <f t="shared" si="42"/>
        <v>564095</v>
      </c>
      <c r="E832" t="s">
        <v>933</v>
      </c>
      <c r="F832" t="s">
        <v>11</v>
      </c>
    </row>
    <row r="833" spans="1:6" x14ac:dyDescent="0.25">
      <c r="A833" t="str">
        <f>"64040259"</f>
        <v>64040259</v>
      </c>
      <c r="B833" t="s">
        <v>938</v>
      </c>
      <c r="C833" t="s">
        <v>7</v>
      </c>
      <c r="D833" t="str">
        <f t="shared" si="42"/>
        <v>564095</v>
      </c>
      <c r="E833" t="s">
        <v>933</v>
      </c>
      <c r="F833" t="s">
        <v>604</v>
      </c>
    </row>
    <row r="834" spans="1:6" x14ac:dyDescent="0.25">
      <c r="A834" t="str">
        <f>"01721267"</f>
        <v>01721267</v>
      </c>
      <c r="B834" t="s">
        <v>939</v>
      </c>
      <c r="C834" t="s">
        <v>7</v>
      </c>
      <c r="D834" t="str">
        <f t="shared" si="42"/>
        <v>564095</v>
      </c>
      <c r="E834" t="s">
        <v>933</v>
      </c>
      <c r="F834" t="s">
        <v>11</v>
      </c>
    </row>
    <row r="835" spans="1:6" x14ac:dyDescent="0.25">
      <c r="A835" t="str">
        <f>"28553233"</f>
        <v>28553233</v>
      </c>
      <c r="B835" t="s">
        <v>940</v>
      </c>
      <c r="C835" t="s">
        <v>7</v>
      </c>
      <c r="D835" t="str">
        <f t="shared" si="42"/>
        <v>564095</v>
      </c>
      <c r="E835" t="s">
        <v>933</v>
      </c>
      <c r="F835" t="s">
        <v>11</v>
      </c>
    </row>
    <row r="836" spans="1:6" x14ac:dyDescent="0.25">
      <c r="A836" t="str">
        <f>"04739787"</f>
        <v>04739787</v>
      </c>
      <c r="B836" t="s">
        <v>941</v>
      </c>
      <c r="C836" t="s">
        <v>7</v>
      </c>
      <c r="D836" t="str">
        <f t="shared" si="42"/>
        <v>564095</v>
      </c>
      <c r="E836" t="s">
        <v>933</v>
      </c>
      <c r="F836" t="s">
        <v>62</v>
      </c>
    </row>
    <row r="837" spans="1:6" x14ac:dyDescent="0.25">
      <c r="A837" t="str">
        <f>"71190520"</f>
        <v>71190520</v>
      </c>
      <c r="B837" t="s">
        <v>942</v>
      </c>
      <c r="C837" t="s">
        <v>20</v>
      </c>
      <c r="D837" t="str">
        <f t="shared" si="42"/>
        <v>564095</v>
      </c>
      <c r="E837" t="s">
        <v>933</v>
      </c>
      <c r="F837" t="s">
        <v>21</v>
      </c>
    </row>
    <row r="838" spans="1:6" x14ac:dyDescent="0.25">
      <c r="A838" t="str">
        <f>"71217495"</f>
        <v>71217495</v>
      </c>
      <c r="B838" t="s">
        <v>943</v>
      </c>
      <c r="C838" t="s">
        <v>15</v>
      </c>
      <c r="D838" t="str">
        <f t="shared" si="42"/>
        <v>564095</v>
      </c>
      <c r="E838" t="s">
        <v>933</v>
      </c>
      <c r="F838" t="s">
        <v>29</v>
      </c>
    </row>
    <row r="839" spans="1:6" x14ac:dyDescent="0.25">
      <c r="A839" t="str">
        <f>"00482552"</f>
        <v>00482552</v>
      </c>
      <c r="B839" t="s">
        <v>944</v>
      </c>
      <c r="C839" t="s">
        <v>15</v>
      </c>
      <c r="D839" t="str">
        <f t="shared" si="42"/>
        <v>564095</v>
      </c>
      <c r="E839" t="s">
        <v>933</v>
      </c>
      <c r="F839" t="s">
        <v>29</v>
      </c>
    </row>
    <row r="840" spans="1:6" x14ac:dyDescent="0.25">
      <c r="A840" t="str">
        <f>"46747150"</f>
        <v>46747150</v>
      </c>
      <c r="B840" t="s">
        <v>945</v>
      </c>
      <c r="C840" t="s">
        <v>15</v>
      </c>
      <c r="D840" t="str">
        <f t="shared" si="42"/>
        <v>564095</v>
      </c>
      <c r="E840" t="s">
        <v>933</v>
      </c>
      <c r="F840" t="s">
        <v>29</v>
      </c>
    </row>
    <row r="841" spans="1:6" x14ac:dyDescent="0.25">
      <c r="A841" t="str">
        <f>"72072539"</f>
        <v>72072539</v>
      </c>
      <c r="B841" t="s">
        <v>946</v>
      </c>
      <c r="C841" t="s">
        <v>15</v>
      </c>
      <c r="D841" t="str">
        <f t="shared" si="42"/>
        <v>564095</v>
      </c>
      <c r="E841" t="s">
        <v>933</v>
      </c>
      <c r="F841" t="s">
        <v>29</v>
      </c>
    </row>
    <row r="842" spans="1:6" x14ac:dyDescent="0.25">
      <c r="A842" t="str">
        <f>"69388342"</f>
        <v>69388342</v>
      </c>
      <c r="B842" t="s">
        <v>947</v>
      </c>
      <c r="C842" t="s">
        <v>7</v>
      </c>
      <c r="D842" t="str">
        <f t="shared" si="42"/>
        <v>564095</v>
      </c>
      <c r="E842" t="s">
        <v>933</v>
      </c>
      <c r="F842" t="s">
        <v>11</v>
      </c>
    </row>
    <row r="843" spans="1:6" x14ac:dyDescent="0.25">
      <c r="A843" t="str">
        <f>"26516055"</f>
        <v>26516055</v>
      </c>
      <c r="B843" t="s">
        <v>948</v>
      </c>
      <c r="C843" t="s">
        <v>7</v>
      </c>
      <c r="D843" t="str">
        <f t="shared" si="42"/>
        <v>564095</v>
      </c>
      <c r="E843" t="s">
        <v>933</v>
      </c>
      <c r="F843" t="s">
        <v>328</v>
      </c>
    </row>
    <row r="844" spans="1:6" x14ac:dyDescent="0.25">
      <c r="A844" t="str">
        <f>"22742191"</f>
        <v>22742191</v>
      </c>
      <c r="B844" t="s">
        <v>949</v>
      </c>
      <c r="C844" t="s">
        <v>7</v>
      </c>
      <c r="D844" t="str">
        <f t="shared" si="42"/>
        <v>564095</v>
      </c>
      <c r="E844" t="s">
        <v>933</v>
      </c>
      <c r="F844" t="s">
        <v>11</v>
      </c>
    </row>
    <row r="845" spans="1:6" x14ac:dyDescent="0.25">
      <c r="A845" t="str">
        <f>"22897844"</f>
        <v>22897844</v>
      </c>
      <c r="B845" t="s">
        <v>950</v>
      </c>
      <c r="C845" t="s">
        <v>20</v>
      </c>
      <c r="D845" t="str">
        <f t="shared" si="42"/>
        <v>564095</v>
      </c>
      <c r="E845" t="s">
        <v>933</v>
      </c>
      <c r="F845" t="s">
        <v>21</v>
      </c>
    </row>
    <row r="846" spans="1:6" x14ac:dyDescent="0.25">
      <c r="A846" t="str">
        <f>"43226132"</f>
        <v>43226132</v>
      </c>
      <c r="B846" t="s">
        <v>951</v>
      </c>
      <c r="C846" t="s">
        <v>7</v>
      </c>
      <c r="D846" t="str">
        <f t="shared" si="42"/>
        <v>564095</v>
      </c>
      <c r="E846" t="s">
        <v>933</v>
      </c>
      <c r="F846" t="s">
        <v>9</v>
      </c>
    </row>
    <row r="847" spans="1:6" x14ac:dyDescent="0.25">
      <c r="A847" t="str">
        <f>"04580141"</f>
        <v>04580141</v>
      </c>
      <c r="B847" t="s">
        <v>952</v>
      </c>
      <c r="C847" t="s">
        <v>7</v>
      </c>
      <c r="D847" t="str">
        <f t="shared" si="42"/>
        <v>564095</v>
      </c>
      <c r="E847" t="s">
        <v>933</v>
      </c>
      <c r="F847" t="s">
        <v>11</v>
      </c>
    </row>
    <row r="848" spans="1:6" x14ac:dyDescent="0.25">
      <c r="A848" t="str">
        <f>"01525026"</f>
        <v>01525026</v>
      </c>
      <c r="B848" t="s">
        <v>953</v>
      </c>
      <c r="C848" t="s">
        <v>7</v>
      </c>
      <c r="D848" t="str">
        <f t="shared" si="42"/>
        <v>564095</v>
      </c>
      <c r="E848" t="s">
        <v>933</v>
      </c>
      <c r="F848" t="s">
        <v>11</v>
      </c>
    </row>
    <row r="849" spans="1:6" x14ac:dyDescent="0.25">
      <c r="A849" t="str">
        <f>"26640091"</f>
        <v>26640091</v>
      </c>
      <c r="B849" t="s">
        <v>954</v>
      </c>
      <c r="C849" t="s">
        <v>7</v>
      </c>
      <c r="D849" t="str">
        <f t="shared" si="42"/>
        <v>564095</v>
      </c>
      <c r="E849" t="s">
        <v>933</v>
      </c>
      <c r="F849" t="s">
        <v>9</v>
      </c>
    </row>
    <row r="850" spans="1:6" x14ac:dyDescent="0.25">
      <c r="A850" t="str">
        <f>"71166459"</f>
        <v>71166459</v>
      </c>
      <c r="B850" t="s">
        <v>955</v>
      </c>
      <c r="C850" t="s">
        <v>37</v>
      </c>
      <c r="D850" t="str">
        <f t="shared" si="42"/>
        <v>564095</v>
      </c>
      <c r="E850" t="s">
        <v>933</v>
      </c>
      <c r="F850" t="s">
        <v>38</v>
      </c>
    </row>
    <row r="851" spans="1:6" x14ac:dyDescent="0.25">
      <c r="A851" t="str">
        <f>"75038960"</f>
        <v>75038960</v>
      </c>
      <c r="B851" t="s">
        <v>956</v>
      </c>
      <c r="C851" t="s">
        <v>37</v>
      </c>
      <c r="D851" t="str">
        <f t="shared" si="42"/>
        <v>564095</v>
      </c>
      <c r="E851" t="s">
        <v>933</v>
      </c>
      <c r="F851" t="s">
        <v>38</v>
      </c>
    </row>
    <row r="852" spans="1:6" x14ac:dyDescent="0.25">
      <c r="A852" t="str">
        <f>"27000761"</f>
        <v>27000761</v>
      </c>
      <c r="B852" t="s">
        <v>957</v>
      </c>
      <c r="C852" t="s">
        <v>7</v>
      </c>
      <c r="D852" t="str">
        <f t="shared" si="42"/>
        <v>564095</v>
      </c>
      <c r="E852" t="s">
        <v>933</v>
      </c>
      <c r="F852" t="s">
        <v>9</v>
      </c>
    </row>
    <row r="853" spans="1:6" x14ac:dyDescent="0.25">
      <c r="A853" t="str">
        <f>"26518163"</f>
        <v>26518163</v>
      </c>
      <c r="B853" t="s">
        <v>958</v>
      </c>
      <c r="C853" t="s">
        <v>7</v>
      </c>
      <c r="D853" t="str">
        <f t="shared" si="42"/>
        <v>564095</v>
      </c>
      <c r="E853" t="s">
        <v>933</v>
      </c>
      <c r="F853" t="s">
        <v>11</v>
      </c>
    </row>
    <row r="854" spans="1:6" x14ac:dyDescent="0.25">
      <c r="A854" t="str">
        <f>"26587254"</f>
        <v>26587254</v>
      </c>
      <c r="B854" t="s">
        <v>959</v>
      </c>
      <c r="C854" t="s">
        <v>7</v>
      </c>
      <c r="D854" t="str">
        <f t="shared" si="42"/>
        <v>564095</v>
      </c>
      <c r="E854" t="s">
        <v>933</v>
      </c>
      <c r="F854" t="s">
        <v>11</v>
      </c>
    </row>
    <row r="855" spans="1:6" x14ac:dyDescent="0.25">
      <c r="A855" t="str">
        <f>"26543991"</f>
        <v>26543991</v>
      </c>
      <c r="B855" t="s">
        <v>960</v>
      </c>
      <c r="C855" t="s">
        <v>7</v>
      </c>
      <c r="D855" t="str">
        <f t="shared" si="42"/>
        <v>564095</v>
      </c>
      <c r="E855" t="s">
        <v>933</v>
      </c>
      <c r="F855" t="s">
        <v>11</v>
      </c>
    </row>
    <row r="856" spans="1:6" x14ac:dyDescent="0.25">
      <c r="A856" t="str">
        <f>"22679022"</f>
        <v>22679022</v>
      </c>
      <c r="B856" t="s">
        <v>961</v>
      </c>
      <c r="C856" t="s">
        <v>7</v>
      </c>
      <c r="D856" t="str">
        <f t="shared" si="42"/>
        <v>564095</v>
      </c>
      <c r="E856" t="s">
        <v>933</v>
      </c>
      <c r="F856" t="s">
        <v>11</v>
      </c>
    </row>
    <row r="857" spans="1:6" x14ac:dyDescent="0.25">
      <c r="A857" t="str">
        <f>"14865009"</f>
        <v>14865009</v>
      </c>
      <c r="B857" t="s">
        <v>962</v>
      </c>
      <c r="C857" t="s">
        <v>7</v>
      </c>
      <c r="D857" t="str">
        <f t="shared" si="42"/>
        <v>564095</v>
      </c>
      <c r="E857" t="s">
        <v>933</v>
      </c>
      <c r="F857" t="s">
        <v>9</v>
      </c>
    </row>
    <row r="858" spans="1:6" x14ac:dyDescent="0.25">
      <c r="A858" t="str">
        <f>"03965058"</f>
        <v>03965058</v>
      </c>
      <c r="B858" t="s">
        <v>963</v>
      </c>
      <c r="C858" t="s">
        <v>43</v>
      </c>
      <c r="D858" t="str">
        <f t="shared" si="42"/>
        <v>564095</v>
      </c>
      <c r="E858" t="s">
        <v>933</v>
      </c>
      <c r="F858" t="s">
        <v>44</v>
      </c>
    </row>
    <row r="859" spans="1:6" x14ac:dyDescent="0.25">
      <c r="A859" t="str">
        <f>"08990409"</f>
        <v>08990409</v>
      </c>
      <c r="B859" t="s">
        <v>964</v>
      </c>
      <c r="C859" t="s">
        <v>7</v>
      </c>
      <c r="D859" t="str">
        <f t="shared" si="42"/>
        <v>564095</v>
      </c>
      <c r="E859" t="s">
        <v>933</v>
      </c>
      <c r="F859" t="s">
        <v>29</v>
      </c>
    </row>
    <row r="860" spans="1:6" x14ac:dyDescent="0.25">
      <c r="A860" t="str">
        <f>"22834575"</f>
        <v>22834575</v>
      </c>
      <c r="B860" t="s">
        <v>965</v>
      </c>
      <c r="C860" t="s">
        <v>7</v>
      </c>
      <c r="D860" t="str">
        <f t="shared" ref="D860:D891" si="43">"564095"</f>
        <v>564095</v>
      </c>
      <c r="E860" t="s">
        <v>933</v>
      </c>
      <c r="F860" t="s">
        <v>11</v>
      </c>
    </row>
    <row r="861" spans="1:6" x14ac:dyDescent="0.25">
      <c r="A861" t="str">
        <f>"46748601"</f>
        <v>46748601</v>
      </c>
      <c r="B861" t="s">
        <v>966</v>
      </c>
      <c r="C861" t="s">
        <v>15</v>
      </c>
      <c r="D861" t="str">
        <f t="shared" si="43"/>
        <v>564095</v>
      </c>
      <c r="E861" t="s">
        <v>933</v>
      </c>
      <c r="F861" t="s">
        <v>139</v>
      </c>
    </row>
    <row r="862" spans="1:6" x14ac:dyDescent="0.25">
      <c r="A862" t="str">
        <f>"05482704"</f>
        <v>05482704</v>
      </c>
      <c r="B862" t="s">
        <v>967</v>
      </c>
      <c r="C862" t="s">
        <v>43</v>
      </c>
      <c r="D862" t="str">
        <f t="shared" si="43"/>
        <v>564095</v>
      </c>
      <c r="E862" t="s">
        <v>933</v>
      </c>
      <c r="F862" t="s">
        <v>44</v>
      </c>
    </row>
    <row r="863" spans="1:6" x14ac:dyDescent="0.25">
      <c r="A863" t="str">
        <f>"04378938"</f>
        <v>04378938</v>
      </c>
      <c r="B863" t="s">
        <v>968</v>
      </c>
      <c r="C863" t="s">
        <v>15</v>
      </c>
      <c r="D863" t="str">
        <f t="shared" si="43"/>
        <v>564095</v>
      </c>
      <c r="E863" t="s">
        <v>933</v>
      </c>
      <c r="F863" t="s">
        <v>11</v>
      </c>
    </row>
    <row r="864" spans="1:6" x14ac:dyDescent="0.25">
      <c r="A864" t="str">
        <f>"46748652"</f>
        <v>46748652</v>
      </c>
      <c r="B864" t="s">
        <v>969</v>
      </c>
      <c r="C864" t="s">
        <v>7</v>
      </c>
      <c r="D864" t="str">
        <f t="shared" si="43"/>
        <v>564095</v>
      </c>
      <c r="E864" t="s">
        <v>933</v>
      </c>
      <c r="F864" t="s">
        <v>9</v>
      </c>
    </row>
    <row r="865" spans="1:6" x14ac:dyDescent="0.25">
      <c r="A865" t="str">
        <f>"41326792"</f>
        <v>41326792</v>
      </c>
      <c r="B865" t="s">
        <v>970</v>
      </c>
      <c r="C865" t="s">
        <v>7</v>
      </c>
      <c r="D865" t="str">
        <f t="shared" si="43"/>
        <v>564095</v>
      </c>
      <c r="E865" t="s">
        <v>933</v>
      </c>
      <c r="F865" t="s">
        <v>9</v>
      </c>
    </row>
    <row r="866" spans="1:6" x14ac:dyDescent="0.25">
      <c r="A866" t="str">
        <f>"26568446"</f>
        <v>26568446</v>
      </c>
      <c r="B866" t="s">
        <v>971</v>
      </c>
      <c r="C866" t="s">
        <v>7</v>
      </c>
      <c r="D866" t="str">
        <f t="shared" si="43"/>
        <v>564095</v>
      </c>
      <c r="E866" t="s">
        <v>933</v>
      </c>
      <c r="F866" t="s">
        <v>29</v>
      </c>
    </row>
    <row r="867" spans="1:6" x14ac:dyDescent="0.25">
      <c r="A867" t="str">
        <f>"68212119"</f>
        <v>68212119</v>
      </c>
      <c r="B867" t="s">
        <v>972</v>
      </c>
      <c r="C867" t="s">
        <v>7</v>
      </c>
      <c r="D867" t="str">
        <f t="shared" si="43"/>
        <v>564095</v>
      </c>
      <c r="E867" t="s">
        <v>933</v>
      </c>
      <c r="F867" t="s">
        <v>11</v>
      </c>
    </row>
    <row r="868" spans="1:6" x14ac:dyDescent="0.25">
      <c r="A868" t="str">
        <f>"69898278"</f>
        <v>69898278</v>
      </c>
      <c r="B868" t="s">
        <v>973</v>
      </c>
      <c r="C868" t="s">
        <v>7</v>
      </c>
      <c r="D868" t="str">
        <f t="shared" si="43"/>
        <v>564095</v>
      </c>
      <c r="E868" t="s">
        <v>933</v>
      </c>
      <c r="F868" t="s">
        <v>11</v>
      </c>
    </row>
    <row r="869" spans="1:6" x14ac:dyDescent="0.25">
      <c r="A869" t="str">
        <f>"65100603"</f>
        <v>65100603</v>
      </c>
      <c r="B869" t="s">
        <v>974</v>
      </c>
      <c r="C869" t="s">
        <v>15</v>
      </c>
      <c r="D869" t="str">
        <f t="shared" si="43"/>
        <v>564095</v>
      </c>
      <c r="E869" t="s">
        <v>933</v>
      </c>
      <c r="F869" t="s">
        <v>9</v>
      </c>
    </row>
    <row r="870" spans="1:6" x14ac:dyDescent="0.25">
      <c r="A870" t="str">
        <f>"04950810"</f>
        <v>04950810</v>
      </c>
      <c r="B870" t="s">
        <v>975</v>
      </c>
      <c r="C870" t="s">
        <v>976</v>
      </c>
      <c r="D870" t="str">
        <f t="shared" si="43"/>
        <v>564095</v>
      </c>
      <c r="E870" t="s">
        <v>933</v>
      </c>
      <c r="F870" t="s">
        <v>11</v>
      </c>
    </row>
    <row r="871" spans="1:6" x14ac:dyDescent="0.25">
      <c r="A871" t="str">
        <f>"26522811"</f>
        <v>26522811</v>
      </c>
      <c r="B871" t="s">
        <v>977</v>
      </c>
      <c r="C871" t="s">
        <v>43</v>
      </c>
      <c r="D871" t="str">
        <f t="shared" si="43"/>
        <v>564095</v>
      </c>
      <c r="E871" t="s">
        <v>933</v>
      </c>
      <c r="F871" t="s">
        <v>44</v>
      </c>
    </row>
    <row r="872" spans="1:6" x14ac:dyDescent="0.25">
      <c r="A872" t="str">
        <f>"26583747"</f>
        <v>26583747</v>
      </c>
      <c r="B872" t="s">
        <v>978</v>
      </c>
      <c r="C872" t="s">
        <v>7</v>
      </c>
      <c r="D872" t="str">
        <f t="shared" si="43"/>
        <v>564095</v>
      </c>
      <c r="E872" t="s">
        <v>933</v>
      </c>
      <c r="F872" t="s">
        <v>11</v>
      </c>
    </row>
    <row r="873" spans="1:6" x14ac:dyDescent="0.25">
      <c r="A873" t="str">
        <f>"26524091"</f>
        <v>26524091</v>
      </c>
      <c r="B873" t="s">
        <v>979</v>
      </c>
      <c r="C873" t="s">
        <v>7</v>
      </c>
      <c r="D873" t="str">
        <f t="shared" si="43"/>
        <v>564095</v>
      </c>
      <c r="E873" t="s">
        <v>933</v>
      </c>
      <c r="F873" t="s">
        <v>11</v>
      </c>
    </row>
    <row r="874" spans="1:6" x14ac:dyDescent="0.25">
      <c r="A874" t="str">
        <f>"26537991"</f>
        <v>26537991</v>
      </c>
      <c r="B874" t="s">
        <v>980</v>
      </c>
      <c r="C874" t="s">
        <v>7</v>
      </c>
      <c r="D874" t="str">
        <f t="shared" si="43"/>
        <v>564095</v>
      </c>
      <c r="E874" t="s">
        <v>933</v>
      </c>
      <c r="F874" t="s">
        <v>11</v>
      </c>
    </row>
    <row r="875" spans="1:6" x14ac:dyDescent="0.25">
      <c r="A875" t="str">
        <f>"05726425"</f>
        <v>05726425</v>
      </c>
      <c r="B875" t="s">
        <v>981</v>
      </c>
      <c r="C875" t="s">
        <v>7</v>
      </c>
      <c r="D875" t="str">
        <f t="shared" si="43"/>
        <v>564095</v>
      </c>
      <c r="E875" t="s">
        <v>933</v>
      </c>
      <c r="F875" t="s">
        <v>62</v>
      </c>
    </row>
    <row r="876" spans="1:6" x14ac:dyDescent="0.25">
      <c r="A876" t="str">
        <f>"05536782"</f>
        <v>05536782</v>
      </c>
      <c r="B876" t="s">
        <v>982</v>
      </c>
      <c r="C876" t="s">
        <v>7</v>
      </c>
      <c r="D876" t="str">
        <f t="shared" si="43"/>
        <v>564095</v>
      </c>
      <c r="E876" t="s">
        <v>933</v>
      </c>
      <c r="F876" t="s">
        <v>35</v>
      </c>
    </row>
    <row r="877" spans="1:6" x14ac:dyDescent="0.25">
      <c r="A877" t="str">
        <f>"08751641"</f>
        <v>08751641</v>
      </c>
      <c r="B877" t="s">
        <v>983</v>
      </c>
      <c r="C877" t="s">
        <v>27</v>
      </c>
      <c r="D877" t="str">
        <f t="shared" si="43"/>
        <v>564095</v>
      </c>
      <c r="E877" t="s">
        <v>933</v>
      </c>
      <c r="F877" t="s">
        <v>13</v>
      </c>
    </row>
    <row r="878" spans="1:6" x14ac:dyDescent="0.25">
      <c r="A878" t="str">
        <f>"22219480"</f>
        <v>22219480</v>
      </c>
      <c r="B878" t="s">
        <v>984</v>
      </c>
      <c r="C878" t="s">
        <v>7</v>
      </c>
      <c r="D878" t="str">
        <f t="shared" si="43"/>
        <v>564095</v>
      </c>
      <c r="E878" t="s">
        <v>933</v>
      </c>
      <c r="F878" t="s">
        <v>13</v>
      </c>
    </row>
    <row r="879" spans="1:6" x14ac:dyDescent="0.25">
      <c r="A879" t="str">
        <f>"08751935"</f>
        <v>08751935</v>
      </c>
      <c r="B879" t="s">
        <v>985</v>
      </c>
      <c r="C879" t="s">
        <v>7</v>
      </c>
      <c r="D879" t="str">
        <f t="shared" si="43"/>
        <v>564095</v>
      </c>
      <c r="E879" t="s">
        <v>933</v>
      </c>
      <c r="F879" t="s">
        <v>11</v>
      </c>
    </row>
    <row r="880" spans="1:6" x14ac:dyDescent="0.25">
      <c r="A880" t="str">
        <f>"26632144"</f>
        <v>26632144</v>
      </c>
      <c r="B880" t="s">
        <v>986</v>
      </c>
      <c r="C880" t="s">
        <v>7</v>
      </c>
      <c r="D880" t="str">
        <f t="shared" si="43"/>
        <v>564095</v>
      </c>
      <c r="E880" t="s">
        <v>933</v>
      </c>
      <c r="F880" t="s">
        <v>11</v>
      </c>
    </row>
    <row r="881" spans="1:6" x14ac:dyDescent="0.25">
      <c r="A881" t="str">
        <f>"26661870"</f>
        <v>26661870</v>
      </c>
      <c r="B881" t="s">
        <v>987</v>
      </c>
      <c r="C881" t="s">
        <v>7</v>
      </c>
      <c r="D881" t="str">
        <f t="shared" si="43"/>
        <v>564095</v>
      </c>
      <c r="E881" t="s">
        <v>933</v>
      </c>
      <c r="F881" t="s">
        <v>11</v>
      </c>
    </row>
    <row r="882" spans="1:6" x14ac:dyDescent="0.25">
      <c r="A882" t="str">
        <f>"46746013"</f>
        <v>46746013</v>
      </c>
      <c r="B882" t="s">
        <v>988</v>
      </c>
      <c r="C882" t="s">
        <v>15</v>
      </c>
      <c r="D882" t="str">
        <f t="shared" si="43"/>
        <v>564095</v>
      </c>
      <c r="E882" t="s">
        <v>933</v>
      </c>
      <c r="F882" t="s">
        <v>9</v>
      </c>
    </row>
    <row r="883" spans="1:6" x14ac:dyDescent="0.25">
      <c r="A883" t="str">
        <f>"46745921"</f>
        <v>46745921</v>
      </c>
      <c r="B883" t="s">
        <v>989</v>
      </c>
      <c r="C883" t="s">
        <v>7</v>
      </c>
      <c r="D883" t="str">
        <f t="shared" si="43"/>
        <v>564095</v>
      </c>
      <c r="E883" t="s">
        <v>933</v>
      </c>
      <c r="F883" t="s">
        <v>38</v>
      </c>
    </row>
    <row r="884" spans="1:6" x14ac:dyDescent="0.25">
      <c r="A884" t="str">
        <f>"05473632"</f>
        <v>05473632</v>
      </c>
      <c r="B884" t="s">
        <v>990</v>
      </c>
      <c r="C884" t="s">
        <v>7</v>
      </c>
      <c r="D884" t="str">
        <f t="shared" si="43"/>
        <v>564095</v>
      </c>
      <c r="E884" t="s">
        <v>933</v>
      </c>
      <c r="F884" t="s">
        <v>62</v>
      </c>
    </row>
    <row r="885" spans="1:6" x14ac:dyDescent="0.25">
      <c r="A885" t="str">
        <f>"70806845"</f>
        <v>70806845</v>
      </c>
      <c r="B885" t="s">
        <v>991</v>
      </c>
      <c r="C885" t="s">
        <v>7</v>
      </c>
      <c r="D885" t="str">
        <f t="shared" si="43"/>
        <v>564095</v>
      </c>
      <c r="E885" t="s">
        <v>933</v>
      </c>
      <c r="F885" t="s">
        <v>38</v>
      </c>
    </row>
    <row r="886" spans="1:6" x14ac:dyDescent="0.25">
      <c r="A886" t="str">
        <f>"46747419"</f>
        <v>46747419</v>
      </c>
      <c r="B886" t="s">
        <v>992</v>
      </c>
      <c r="C886" t="s">
        <v>7</v>
      </c>
      <c r="D886" t="str">
        <f t="shared" si="43"/>
        <v>564095</v>
      </c>
      <c r="E886" t="s">
        <v>933</v>
      </c>
      <c r="F886" t="s">
        <v>38</v>
      </c>
    </row>
    <row r="887" spans="1:6" x14ac:dyDescent="0.25">
      <c r="A887" t="str">
        <f>"66112184"</f>
        <v>66112184</v>
      </c>
      <c r="B887" t="s">
        <v>993</v>
      </c>
      <c r="C887" t="s">
        <v>43</v>
      </c>
      <c r="D887" t="str">
        <f t="shared" si="43"/>
        <v>564095</v>
      </c>
      <c r="E887" t="s">
        <v>933</v>
      </c>
      <c r="F887" t="s">
        <v>44</v>
      </c>
    </row>
    <row r="888" spans="1:6" x14ac:dyDescent="0.25">
      <c r="A888" t="str">
        <f>"05384168"</f>
        <v>05384168</v>
      </c>
      <c r="B888" t="s">
        <v>994</v>
      </c>
      <c r="C888" t="s">
        <v>7</v>
      </c>
      <c r="D888" t="str">
        <f t="shared" si="43"/>
        <v>564095</v>
      </c>
      <c r="E888" t="s">
        <v>933</v>
      </c>
      <c r="F888" t="s">
        <v>62</v>
      </c>
    </row>
    <row r="889" spans="1:6" x14ac:dyDescent="0.25">
      <c r="A889" t="str">
        <f>"02210401"</f>
        <v>02210401</v>
      </c>
      <c r="B889" t="s">
        <v>995</v>
      </c>
      <c r="C889" t="s">
        <v>7</v>
      </c>
      <c r="D889" t="str">
        <f t="shared" si="43"/>
        <v>564095</v>
      </c>
      <c r="E889" t="s">
        <v>933</v>
      </c>
      <c r="F889" t="s">
        <v>11</v>
      </c>
    </row>
    <row r="890" spans="1:6" x14ac:dyDescent="0.25">
      <c r="A890" t="str">
        <f>"63155109"</f>
        <v>63155109</v>
      </c>
      <c r="B890" t="s">
        <v>996</v>
      </c>
      <c r="C890" t="s">
        <v>7</v>
      </c>
      <c r="D890" t="str">
        <f t="shared" si="43"/>
        <v>564095</v>
      </c>
      <c r="E890" t="s">
        <v>933</v>
      </c>
      <c r="F890" t="s">
        <v>139</v>
      </c>
    </row>
    <row r="891" spans="1:6" x14ac:dyDescent="0.25">
      <c r="A891" t="str">
        <f>"71166921"</f>
        <v>71166921</v>
      </c>
      <c r="B891" t="s">
        <v>997</v>
      </c>
      <c r="C891" t="s">
        <v>15</v>
      </c>
      <c r="D891" t="str">
        <f t="shared" si="43"/>
        <v>564095</v>
      </c>
      <c r="E891" t="s">
        <v>933</v>
      </c>
      <c r="F891" t="s">
        <v>65</v>
      </c>
    </row>
    <row r="892" spans="1:6" x14ac:dyDescent="0.25">
      <c r="A892" t="str">
        <f>"26993996"</f>
        <v>26993996</v>
      </c>
      <c r="B892" t="s">
        <v>998</v>
      </c>
      <c r="C892" t="s">
        <v>7</v>
      </c>
      <c r="D892" t="str">
        <f t="shared" ref="D892:D923" si="44">"564095"</f>
        <v>564095</v>
      </c>
      <c r="E892" t="s">
        <v>933</v>
      </c>
      <c r="F892" t="s">
        <v>11</v>
      </c>
    </row>
    <row r="893" spans="1:6" x14ac:dyDescent="0.25">
      <c r="A893" t="str">
        <f>"02502364"</f>
        <v>02502364</v>
      </c>
      <c r="B893" t="s">
        <v>999</v>
      </c>
      <c r="C893" t="s">
        <v>7</v>
      </c>
      <c r="D893" t="str">
        <f t="shared" si="44"/>
        <v>564095</v>
      </c>
      <c r="E893" t="s">
        <v>933</v>
      </c>
      <c r="F893" t="s">
        <v>35</v>
      </c>
    </row>
    <row r="894" spans="1:6" x14ac:dyDescent="0.25">
      <c r="A894" t="str">
        <f>"46749276"</f>
        <v>46749276</v>
      </c>
      <c r="B894" t="s">
        <v>1000</v>
      </c>
      <c r="C894" t="s">
        <v>20</v>
      </c>
      <c r="D894" t="str">
        <f t="shared" si="44"/>
        <v>564095</v>
      </c>
      <c r="E894" t="s">
        <v>933</v>
      </c>
      <c r="F894" t="s">
        <v>21</v>
      </c>
    </row>
    <row r="895" spans="1:6" x14ac:dyDescent="0.25">
      <c r="A895" t="str">
        <f>"26584671"</f>
        <v>26584671</v>
      </c>
      <c r="B895" t="s">
        <v>1001</v>
      </c>
      <c r="C895" t="s">
        <v>7</v>
      </c>
      <c r="D895" t="str">
        <f t="shared" si="44"/>
        <v>564095</v>
      </c>
      <c r="E895" t="s">
        <v>933</v>
      </c>
      <c r="F895" t="s">
        <v>11</v>
      </c>
    </row>
    <row r="896" spans="1:6" x14ac:dyDescent="0.25">
      <c r="A896" t="str">
        <f>"07920962"</f>
        <v>07920962</v>
      </c>
      <c r="B896" t="s">
        <v>1002</v>
      </c>
      <c r="C896" t="s">
        <v>7</v>
      </c>
      <c r="D896" t="str">
        <f t="shared" si="44"/>
        <v>564095</v>
      </c>
      <c r="E896" t="s">
        <v>933</v>
      </c>
      <c r="F896" t="s">
        <v>62</v>
      </c>
    </row>
    <row r="897" spans="1:6" x14ac:dyDescent="0.25">
      <c r="A897" t="str">
        <f>"05303354"</f>
        <v>05303354</v>
      </c>
      <c r="B897" t="s">
        <v>1003</v>
      </c>
      <c r="C897" t="s">
        <v>7</v>
      </c>
      <c r="D897" t="str">
        <f t="shared" si="44"/>
        <v>564095</v>
      </c>
      <c r="E897" t="s">
        <v>933</v>
      </c>
      <c r="F897" t="s">
        <v>11</v>
      </c>
    </row>
    <row r="898" spans="1:6" x14ac:dyDescent="0.25">
      <c r="A898" t="str">
        <f>"27045196"</f>
        <v>27045196</v>
      </c>
      <c r="B898" t="s">
        <v>1004</v>
      </c>
      <c r="C898" t="s">
        <v>7</v>
      </c>
      <c r="D898" t="str">
        <f t="shared" si="44"/>
        <v>564095</v>
      </c>
      <c r="E898" t="s">
        <v>933</v>
      </c>
      <c r="F898" t="s">
        <v>424</v>
      </c>
    </row>
    <row r="899" spans="1:6" x14ac:dyDescent="0.25">
      <c r="A899" t="str">
        <f>"46749268"</f>
        <v>46749268</v>
      </c>
      <c r="B899" t="s">
        <v>1005</v>
      </c>
      <c r="C899" t="s">
        <v>43</v>
      </c>
      <c r="D899" t="str">
        <f t="shared" si="44"/>
        <v>564095</v>
      </c>
      <c r="E899" t="s">
        <v>933</v>
      </c>
      <c r="F899" t="s">
        <v>44</v>
      </c>
    </row>
    <row r="900" spans="1:6" x14ac:dyDescent="0.25">
      <c r="A900" t="str">
        <f>"46749250"</f>
        <v>46749250</v>
      </c>
      <c r="B900" t="s">
        <v>1006</v>
      </c>
      <c r="C900" t="s">
        <v>43</v>
      </c>
      <c r="D900" t="str">
        <f t="shared" si="44"/>
        <v>564095</v>
      </c>
      <c r="E900" t="s">
        <v>933</v>
      </c>
      <c r="F900" t="s">
        <v>44</v>
      </c>
    </row>
    <row r="901" spans="1:6" x14ac:dyDescent="0.25">
      <c r="A901" t="str">
        <f>"46745581"</f>
        <v>46745581</v>
      </c>
      <c r="B901" t="s">
        <v>1007</v>
      </c>
      <c r="C901" t="s">
        <v>43</v>
      </c>
      <c r="D901" t="str">
        <f t="shared" si="44"/>
        <v>564095</v>
      </c>
      <c r="E901" t="s">
        <v>933</v>
      </c>
      <c r="F901" t="s">
        <v>44</v>
      </c>
    </row>
    <row r="902" spans="1:6" x14ac:dyDescent="0.25">
      <c r="A902" t="str">
        <f>"46749225"</f>
        <v>46749225</v>
      </c>
      <c r="B902" t="s">
        <v>1008</v>
      </c>
      <c r="C902" t="s">
        <v>43</v>
      </c>
      <c r="D902" t="str">
        <f t="shared" si="44"/>
        <v>564095</v>
      </c>
      <c r="E902" t="s">
        <v>933</v>
      </c>
      <c r="F902" t="s">
        <v>44</v>
      </c>
    </row>
    <row r="903" spans="1:6" x14ac:dyDescent="0.25">
      <c r="A903" t="str">
        <f>"46749241"</f>
        <v>46749241</v>
      </c>
      <c r="B903" t="s">
        <v>1009</v>
      </c>
      <c r="C903" t="s">
        <v>43</v>
      </c>
      <c r="D903" t="str">
        <f t="shared" si="44"/>
        <v>564095</v>
      </c>
      <c r="E903" t="s">
        <v>933</v>
      </c>
      <c r="F903" t="s">
        <v>44</v>
      </c>
    </row>
    <row r="904" spans="1:6" x14ac:dyDescent="0.25">
      <c r="A904" t="str">
        <f>"46749233"</f>
        <v>46749233</v>
      </c>
      <c r="B904" t="s">
        <v>1010</v>
      </c>
      <c r="C904" t="s">
        <v>43</v>
      </c>
      <c r="D904" t="str">
        <f t="shared" si="44"/>
        <v>564095</v>
      </c>
      <c r="E904" t="s">
        <v>933</v>
      </c>
      <c r="F904" t="s">
        <v>44</v>
      </c>
    </row>
    <row r="905" spans="1:6" x14ac:dyDescent="0.25">
      <c r="A905" t="str">
        <f>"26996715"</f>
        <v>26996715</v>
      </c>
      <c r="B905" t="s">
        <v>1011</v>
      </c>
      <c r="C905" t="s">
        <v>7</v>
      </c>
      <c r="D905" t="str">
        <f t="shared" si="44"/>
        <v>564095</v>
      </c>
      <c r="E905" t="s">
        <v>933</v>
      </c>
      <c r="F905" t="s">
        <v>11</v>
      </c>
    </row>
    <row r="906" spans="1:6" x14ac:dyDescent="0.25">
      <c r="A906" t="str">
        <f>"70819785"</f>
        <v>70819785</v>
      </c>
      <c r="B906" t="s">
        <v>1012</v>
      </c>
      <c r="C906" t="s">
        <v>7</v>
      </c>
      <c r="D906" t="str">
        <f t="shared" si="44"/>
        <v>564095</v>
      </c>
      <c r="E906" t="s">
        <v>933</v>
      </c>
      <c r="F906" t="s">
        <v>139</v>
      </c>
    </row>
    <row r="907" spans="1:6" x14ac:dyDescent="0.25">
      <c r="A907" t="str">
        <f>"01661035"</f>
        <v>01661035</v>
      </c>
      <c r="B907" t="s">
        <v>1013</v>
      </c>
      <c r="C907" t="s">
        <v>7</v>
      </c>
      <c r="D907" t="str">
        <f t="shared" si="44"/>
        <v>564095</v>
      </c>
      <c r="E907" t="s">
        <v>933</v>
      </c>
      <c r="F907" t="s">
        <v>11</v>
      </c>
    </row>
    <row r="908" spans="1:6" x14ac:dyDescent="0.25">
      <c r="A908" t="str">
        <f>"44223587"</f>
        <v>44223587</v>
      </c>
      <c r="B908" t="s">
        <v>1014</v>
      </c>
      <c r="C908" t="s">
        <v>15</v>
      </c>
      <c r="D908" t="str">
        <f t="shared" si="44"/>
        <v>564095</v>
      </c>
      <c r="E908" t="s">
        <v>933</v>
      </c>
      <c r="F908" t="s">
        <v>16</v>
      </c>
    </row>
    <row r="909" spans="1:6" x14ac:dyDescent="0.25">
      <c r="A909" t="str">
        <f>"64039196"</f>
        <v>64039196</v>
      </c>
      <c r="B909" t="s">
        <v>1015</v>
      </c>
      <c r="C909" t="s">
        <v>15</v>
      </c>
      <c r="D909" t="str">
        <f t="shared" si="44"/>
        <v>564095</v>
      </c>
      <c r="E909" t="s">
        <v>933</v>
      </c>
      <c r="F909" t="s">
        <v>16</v>
      </c>
    </row>
    <row r="910" spans="1:6" x14ac:dyDescent="0.25">
      <c r="A910" t="str">
        <f>"46748211"</f>
        <v>46748211</v>
      </c>
      <c r="B910" t="s">
        <v>1016</v>
      </c>
      <c r="C910" t="s">
        <v>7</v>
      </c>
      <c r="D910" t="str">
        <f t="shared" si="44"/>
        <v>564095</v>
      </c>
      <c r="E910" t="s">
        <v>933</v>
      </c>
      <c r="F910" t="s">
        <v>9</v>
      </c>
    </row>
    <row r="911" spans="1:6" x14ac:dyDescent="0.25">
      <c r="A911" t="str">
        <f>"26657023"</f>
        <v>26657023</v>
      </c>
      <c r="B911" t="s">
        <v>1017</v>
      </c>
      <c r="C911" t="s">
        <v>7</v>
      </c>
      <c r="D911" t="str">
        <f t="shared" si="44"/>
        <v>564095</v>
      </c>
      <c r="E911" t="s">
        <v>933</v>
      </c>
      <c r="F911" t="s">
        <v>9</v>
      </c>
    </row>
    <row r="912" spans="1:6" x14ac:dyDescent="0.25">
      <c r="A912" t="str">
        <f>"22847987"</f>
        <v>22847987</v>
      </c>
      <c r="B912" t="s">
        <v>1018</v>
      </c>
      <c r="C912" t="s">
        <v>7</v>
      </c>
      <c r="D912" t="str">
        <f t="shared" si="44"/>
        <v>564095</v>
      </c>
      <c r="E912" t="s">
        <v>933</v>
      </c>
      <c r="F912" t="s">
        <v>11</v>
      </c>
    </row>
    <row r="913" spans="1:6" x14ac:dyDescent="0.25">
      <c r="A913" t="str">
        <f>"22759361"</f>
        <v>22759361</v>
      </c>
      <c r="B913" t="s">
        <v>1019</v>
      </c>
      <c r="C913" t="s">
        <v>7</v>
      </c>
      <c r="D913" t="str">
        <f t="shared" si="44"/>
        <v>564095</v>
      </c>
      <c r="E913" t="s">
        <v>933</v>
      </c>
      <c r="F913" t="s">
        <v>11</v>
      </c>
    </row>
    <row r="914" spans="1:6" x14ac:dyDescent="0.25">
      <c r="A914" t="str">
        <f>"08921067"</f>
        <v>08921067</v>
      </c>
      <c r="B914" t="s">
        <v>1020</v>
      </c>
      <c r="C914" t="s">
        <v>7</v>
      </c>
      <c r="D914" t="str">
        <f t="shared" si="44"/>
        <v>564095</v>
      </c>
      <c r="E914" t="s">
        <v>933</v>
      </c>
      <c r="F914" t="s">
        <v>18</v>
      </c>
    </row>
    <row r="915" spans="1:6" x14ac:dyDescent="0.25">
      <c r="A915" t="str">
        <f>"27000869"</f>
        <v>27000869</v>
      </c>
      <c r="B915" t="s">
        <v>1021</v>
      </c>
      <c r="C915" t="s">
        <v>7</v>
      </c>
      <c r="D915" t="str">
        <f t="shared" si="44"/>
        <v>564095</v>
      </c>
      <c r="E915" t="s">
        <v>933</v>
      </c>
      <c r="F915" t="s">
        <v>11</v>
      </c>
    </row>
    <row r="916" spans="1:6" x14ac:dyDescent="0.25">
      <c r="A916" t="str">
        <f>"70904707"</f>
        <v>70904707</v>
      </c>
      <c r="B916" t="s">
        <v>1022</v>
      </c>
      <c r="C916" t="s">
        <v>7</v>
      </c>
      <c r="D916" t="str">
        <f t="shared" si="44"/>
        <v>564095</v>
      </c>
      <c r="E916" t="s">
        <v>933</v>
      </c>
      <c r="F916" t="s">
        <v>11</v>
      </c>
    </row>
    <row r="917" spans="1:6" x14ac:dyDescent="0.25">
      <c r="A917" t="str">
        <f>"26634805"</f>
        <v>26634805</v>
      </c>
      <c r="B917" t="s">
        <v>1023</v>
      </c>
      <c r="C917" t="s">
        <v>7</v>
      </c>
      <c r="D917" t="str">
        <f t="shared" si="44"/>
        <v>564095</v>
      </c>
      <c r="E917" t="s">
        <v>933</v>
      </c>
      <c r="F917" t="s">
        <v>18</v>
      </c>
    </row>
    <row r="918" spans="1:6" x14ac:dyDescent="0.25">
      <c r="A918" t="str">
        <f>"07890991"</f>
        <v>07890991</v>
      </c>
      <c r="B918" t="s">
        <v>1024</v>
      </c>
      <c r="C918" t="s">
        <v>7</v>
      </c>
      <c r="D918" t="str">
        <f t="shared" si="44"/>
        <v>564095</v>
      </c>
      <c r="E918" t="s">
        <v>933</v>
      </c>
      <c r="F918" t="s">
        <v>29</v>
      </c>
    </row>
    <row r="919" spans="1:6" x14ac:dyDescent="0.25">
      <c r="A919" t="str">
        <f>"22742689"</f>
        <v>22742689</v>
      </c>
      <c r="B919" t="s">
        <v>1025</v>
      </c>
      <c r="C919" t="s">
        <v>7</v>
      </c>
      <c r="D919" t="str">
        <f t="shared" si="44"/>
        <v>564095</v>
      </c>
      <c r="E919" t="s">
        <v>933</v>
      </c>
      <c r="F919" t="s">
        <v>137</v>
      </c>
    </row>
    <row r="920" spans="1:6" x14ac:dyDescent="0.25">
      <c r="A920" t="str">
        <f>"17616531"</f>
        <v>17616531</v>
      </c>
      <c r="B920" t="s">
        <v>1026</v>
      </c>
      <c r="C920" t="s">
        <v>7</v>
      </c>
      <c r="D920" t="str">
        <f t="shared" si="44"/>
        <v>564095</v>
      </c>
      <c r="E920" t="s">
        <v>933</v>
      </c>
      <c r="F920" t="s">
        <v>29</v>
      </c>
    </row>
    <row r="921" spans="1:6" x14ac:dyDescent="0.25">
      <c r="A921" t="str">
        <f>"26547261"</f>
        <v>26547261</v>
      </c>
      <c r="B921" t="s">
        <v>1027</v>
      </c>
      <c r="C921" t="s">
        <v>7</v>
      </c>
      <c r="D921" t="str">
        <f t="shared" si="44"/>
        <v>564095</v>
      </c>
      <c r="E921" t="s">
        <v>933</v>
      </c>
      <c r="F921" t="s">
        <v>11</v>
      </c>
    </row>
    <row r="922" spans="1:6" x14ac:dyDescent="0.25">
      <c r="A922" t="str">
        <f>"26628902"</f>
        <v>26628902</v>
      </c>
      <c r="B922" t="s">
        <v>1028</v>
      </c>
      <c r="C922" t="s">
        <v>7</v>
      </c>
      <c r="D922" t="str">
        <f t="shared" si="44"/>
        <v>564095</v>
      </c>
      <c r="E922" t="s">
        <v>933</v>
      </c>
      <c r="F922" t="s">
        <v>11</v>
      </c>
    </row>
    <row r="923" spans="1:6" x14ac:dyDescent="0.25">
      <c r="A923" t="str">
        <f>"09827692"</f>
        <v>09827692</v>
      </c>
      <c r="B923" t="s">
        <v>1029</v>
      </c>
      <c r="C923" t="s">
        <v>7</v>
      </c>
      <c r="D923" t="str">
        <f t="shared" si="44"/>
        <v>564095</v>
      </c>
      <c r="E923" t="s">
        <v>933</v>
      </c>
      <c r="F923" t="s">
        <v>11</v>
      </c>
    </row>
    <row r="924" spans="1:6" x14ac:dyDescent="0.25">
      <c r="A924" t="str">
        <f>"26623013"</f>
        <v>26623013</v>
      </c>
      <c r="B924" t="s">
        <v>1030</v>
      </c>
      <c r="C924" t="s">
        <v>7</v>
      </c>
      <c r="D924" t="str">
        <f t="shared" ref="D924:D948" si="45">"564095"</f>
        <v>564095</v>
      </c>
      <c r="E924" t="s">
        <v>933</v>
      </c>
      <c r="F924" t="s">
        <v>11</v>
      </c>
    </row>
    <row r="925" spans="1:6" x14ac:dyDescent="0.25">
      <c r="A925" t="str">
        <f>"46749586"</f>
        <v>46749586</v>
      </c>
      <c r="B925" t="s">
        <v>1031</v>
      </c>
      <c r="C925" t="s">
        <v>7</v>
      </c>
      <c r="D925" t="str">
        <f t="shared" si="45"/>
        <v>564095</v>
      </c>
      <c r="E925" t="s">
        <v>933</v>
      </c>
      <c r="F925" t="s">
        <v>11</v>
      </c>
    </row>
    <row r="926" spans="1:6" x14ac:dyDescent="0.25">
      <c r="A926" t="str">
        <f>"70201170"</f>
        <v>70201170</v>
      </c>
      <c r="B926" t="s">
        <v>1032</v>
      </c>
      <c r="C926" t="s">
        <v>7</v>
      </c>
      <c r="D926" t="str">
        <f t="shared" si="45"/>
        <v>564095</v>
      </c>
      <c r="E926" t="s">
        <v>933</v>
      </c>
      <c r="F926" t="s">
        <v>65</v>
      </c>
    </row>
    <row r="927" spans="1:6" x14ac:dyDescent="0.25">
      <c r="A927" t="str">
        <f>"26528533"</f>
        <v>26528533</v>
      </c>
      <c r="B927" t="s">
        <v>1033</v>
      </c>
      <c r="C927" t="s">
        <v>7</v>
      </c>
      <c r="D927" t="str">
        <f t="shared" si="45"/>
        <v>564095</v>
      </c>
      <c r="E927" t="s">
        <v>933</v>
      </c>
      <c r="F927" t="s">
        <v>1034</v>
      </c>
    </row>
    <row r="928" spans="1:6" x14ac:dyDescent="0.25">
      <c r="A928" t="str">
        <f>"70864918"</f>
        <v>70864918</v>
      </c>
      <c r="B928" t="s">
        <v>1035</v>
      </c>
      <c r="C928" t="s">
        <v>7</v>
      </c>
      <c r="D928" t="str">
        <f t="shared" si="45"/>
        <v>564095</v>
      </c>
      <c r="E928" t="s">
        <v>933</v>
      </c>
      <c r="F928" t="s">
        <v>9</v>
      </c>
    </row>
    <row r="929" spans="1:6" x14ac:dyDescent="0.25">
      <c r="A929" t="str">
        <f>"00482285"</f>
        <v>00482285</v>
      </c>
      <c r="B929" t="s">
        <v>1036</v>
      </c>
      <c r="C929" t="s">
        <v>7</v>
      </c>
      <c r="D929" t="str">
        <f t="shared" si="45"/>
        <v>564095</v>
      </c>
      <c r="E929" t="s">
        <v>933</v>
      </c>
      <c r="F929" t="s">
        <v>9</v>
      </c>
    </row>
    <row r="930" spans="1:6" x14ac:dyDescent="0.25">
      <c r="A930" t="str">
        <f>"71339485"</f>
        <v>71339485</v>
      </c>
      <c r="B930" t="s">
        <v>1037</v>
      </c>
      <c r="C930" t="s">
        <v>1038</v>
      </c>
      <c r="D930" t="str">
        <f t="shared" si="45"/>
        <v>564095</v>
      </c>
      <c r="E930" t="s">
        <v>933</v>
      </c>
      <c r="F930" t="s">
        <v>1039</v>
      </c>
    </row>
    <row r="931" spans="1:6" x14ac:dyDescent="0.25">
      <c r="A931" t="str">
        <f>"65100697"</f>
        <v>65100697</v>
      </c>
      <c r="B931" t="s">
        <v>1040</v>
      </c>
      <c r="C931" t="s">
        <v>15</v>
      </c>
      <c r="D931" t="str">
        <f t="shared" si="45"/>
        <v>564095</v>
      </c>
      <c r="E931" t="s">
        <v>933</v>
      </c>
      <c r="F931" t="s">
        <v>137</v>
      </c>
    </row>
    <row r="932" spans="1:6" x14ac:dyDescent="0.25">
      <c r="A932" t="str">
        <f>"22891226"</f>
        <v>22891226</v>
      </c>
      <c r="B932" t="s">
        <v>1041</v>
      </c>
      <c r="C932" t="s">
        <v>7</v>
      </c>
      <c r="D932" t="str">
        <f t="shared" si="45"/>
        <v>564095</v>
      </c>
      <c r="E932" t="s">
        <v>933</v>
      </c>
      <c r="F932" t="s">
        <v>328</v>
      </c>
    </row>
    <row r="933" spans="1:6" x14ac:dyDescent="0.25">
      <c r="A933" t="str">
        <f>"27030130"</f>
        <v>27030130</v>
      </c>
      <c r="B933" t="s">
        <v>1042</v>
      </c>
      <c r="C933" t="s">
        <v>7</v>
      </c>
      <c r="D933" t="str">
        <f t="shared" si="45"/>
        <v>564095</v>
      </c>
      <c r="E933" t="s">
        <v>933</v>
      </c>
      <c r="F933" t="s">
        <v>11</v>
      </c>
    </row>
    <row r="934" spans="1:6" x14ac:dyDescent="0.25">
      <c r="A934" t="str">
        <f>"68955006"</f>
        <v>68955006</v>
      </c>
      <c r="B934" t="s">
        <v>1043</v>
      </c>
      <c r="C934" t="s">
        <v>7</v>
      </c>
      <c r="D934" t="str">
        <f t="shared" si="45"/>
        <v>564095</v>
      </c>
      <c r="E934" t="s">
        <v>933</v>
      </c>
      <c r="F934" t="s">
        <v>65</v>
      </c>
    </row>
    <row r="935" spans="1:6" x14ac:dyDescent="0.25">
      <c r="A935" t="str">
        <f>"46747141"</f>
        <v>46747141</v>
      </c>
      <c r="B935" t="s">
        <v>1044</v>
      </c>
      <c r="C935" t="s">
        <v>7</v>
      </c>
      <c r="D935" t="str">
        <f t="shared" si="45"/>
        <v>564095</v>
      </c>
      <c r="E935" t="s">
        <v>933</v>
      </c>
      <c r="F935" t="s">
        <v>9</v>
      </c>
    </row>
    <row r="936" spans="1:6" x14ac:dyDescent="0.25">
      <c r="A936" t="str">
        <f>"70897689"</f>
        <v>70897689</v>
      </c>
      <c r="B936" t="s">
        <v>1045</v>
      </c>
      <c r="C936" t="s">
        <v>7</v>
      </c>
      <c r="D936" t="str">
        <f t="shared" si="45"/>
        <v>564095</v>
      </c>
      <c r="E936" t="s">
        <v>933</v>
      </c>
      <c r="F936" t="s">
        <v>65</v>
      </c>
    </row>
    <row r="937" spans="1:6" x14ac:dyDescent="0.25">
      <c r="A937" t="str">
        <f>"04756703"</f>
        <v>04756703</v>
      </c>
      <c r="B937" t="s">
        <v>1046</v>
      </c>
      <c r="C937" t="s">
        <v>7</v>
      </c>
      <c r="D937" t="str">
        <f t="shared" si="45"/>
        <v>564095</v>
      </c>
      <c r="E937" t="s">
        <v>933</v>
      </c>
      <c r="F937" t="s">
        <v>35</v>
      </c>
    </row>
    <row r="938" spans="1:6" x14ac:dyDescent="0.25">
      <c r="A938" t="str">
        <f>"41326831"</f>
        <v>41326831</v>
      </c>
      <c r="B938" t="s">
        <v>1047</v>
      </c>
      <c r="C938" t="s">
        <v>7</v>
      </c>
      <c r="D938" t="str">
        <f t="shared" si="45"/>
        <v>564095</v>
      </c>
      <c r="E938" t="s">
        <v>933</v>
      </c>
      <c r="F938" t="s">
        <v>9</v>
      </c>
    </row>
    <row r="939" spans="1:6" x14ac:dyDescent="0.25">
      <c r="A939" t="str">
        <f>"26592983"</f>
        <v>26592983</v>
      </c>
      <c r="B939" t="s">
        <v>1048</v>
      </c>
      <c r="C939" t="s">
        <v>7</v>
      </c>
      <c r="D939" t="str">
        <f t="shared" si="45"/>
        <v>564095</v>
      </c>
      <c r="E939" t="s">
        <v>933</v>
      </c>
      <c r="F939" t="s">
        <v>11</v>
      </c>
    </row>
    <row r="940" spans="1:6" x14ac:dyDescent="0.25">
      <c r="A940" t="str">
        <f>"19612028"</f>
        <v>19612028</v>
      </c>
      <c r="B940" t="s">
        <v>1049</v>
      </c>
      <c r="C940" t="s">
        <v>7</v>
      </c>
      <c r="D940" t="str">
        <f t="shared" si="45"/>
        <v>564095</v>
      </c>
      <c r="E940" t="s">
        <v>933</v>
      </c>
      <c r="F940" t="s">
        <v>1050</v>
      </c>
    </row>
    <row r="941" spans="1:6" x14ac:dyDescent="0.25">
      <c r="A941" t="str">
        <f>"26599341"</f>
        <v>26599341</v>
      </c>
      <c r="B941" t="s">
        <v>1051</v>
      </c>
      <c r="C941" t="s">
        <v>7</v>
      </c>
      <c r="D941" t="str">
        <f t="shared" si="45"/>
        <v>564095</v>
      </c>
      <c r="E941" t="s">
        <v>933</v>
      </c>
      <c r="F941" t="s">
        <v>11</v>
      </c>
    </row>
    <row r="942" spans="1:6" x14ac:dyDescent="0.25">
      <c r="A942" t="str">
        <f>"65100409"</f>
        <v>65100409</v>
      </c>
      <c r="B942" t="s">
        <v>1052</v>
      </c>
      <c r="C942" t="s">
        <v>15</v>
      </c>
      <c r="D942" t="str">
        <f t="shared" si="45"/>
        <v>564095</v>
      </c>
      <c r="E942" t="s">
        <v>933</v>
      </c>
      <c r="F942" t="s">
        <v>11</v>
      </c>
    </row>
    <row r="943" spans="1:6" x14ac:dyDescent="0.25">
      <c r="A943" t="str">
        <f>"71188533"</f>
        <v>71188533</v>
      </c>
      <c r="B943" t="s">
        <v>1053</v>
      </c>
      <c r="C943" t="s">
        <v>20</v>
      </c>
      <c r="D943" t="str">
        <f t="shared" si="45"/>
        <v>564095</v>
      </c>
      <c r="E943" t="s">
        <v>933</v>
      </c>
      <c r="F943" t="s">
        <v>21</v>
      </c>
    </row>
    <row r="944" spans="1:6" x14ac:dyDescent="0.25">
      <c r="A944" t="str">
        <f>"71188771"</f>
        <v>71188771</v>
      </c>
      <c r="B944" t="s">
        <v>1054</v>
      </c>
      <c r="C944" t="s">
        <v>20</v>
      </c>
      <c r="D944" t="str">
        <f t="shared" si="45"/>
        <v>564095</v>
      </c>
      <c r="E944" t="s">
        <v>933</v>
      </c>
      <c r="F944" t="s">
        <v>21</v>
      </c>
    </row>
    <row r="945" spans="1:6" x14ac:dyDescent="0.25">
      <c r="A945" t="str">
        <f>"71188312"</f>
        <v>71188312</v>
      </c>
      <c r="B945" t="s">
        <v>1055</v>
      </c>
      <c r="C945" t="s">
        <v>20</v>
      </c>
      <c r="D945" t="str">
        <f t="shared" si="45"/>
        <v>564095</v>
      </c>
      <c r="E945" t="s">
        <v>933</v>
      </c>
      <c r="F945" t="s">
        <v>21</v>
      </c>
    </row>
    <row r="946" spans="1:6" x14ac:dyDescent="0.25">
      <c r="A946" t="str">
        <f>"03091481"</f>
        <v>03091481</v>
      </c>
      <c r="B946" t="s">
        <v>1056</v>
      </c>
      <c r="C946" t="s">
        <v>20</v>
      </c>
      <c r="D946" t="str">
        <f t="shared" si="45"/>
        <v>564095</v>
      </c>
      <c r="E946" t="s">
        <v>933</v>
      </c>
      <c r="F946" t="s">
        <v>21</v>
      </c>
    </row>
    <row r="947" spans="1:6" x14ac:dyDescent="0.25">
      <c r="A947" t="str">
        <f>"22743944"</f>
        <v>22743944</v>
      </c>
      <c r="B947" t="s">
        <v>1057</v>
      </c>
      <c r="C947" t="s">
        <v>7</v>
      </c>
      <c r="D947" t="str">
        <f t="shared" si="45"/>
        <v>564095</v>
      </c>
      <c r="E947" t="s">
        <v>933</v>
      </c>
      <c r="F947" t="s">
        <v>139</v>
      </c>
    </row>
    <row r="948" spans="1:6" x14ac:dyDescent="0.25">
      <c r="A948" t="str">
        <f>"02448874"</f>
        <v>02448874</v>
      </c>
      <c r="B948" t="s">
        <v>1058</v>
      </c>
      <c r="C948" t="s">
        <v>7</v>
      </c>
      <c r="D948" t="str">
        <f t="shared" si="45"/>
        <v>564095</v>
      </c>
      <c r="E948" t="s">
        <v>933</v>
      </c>
      <c r="F948" t="s">
        <v>35</v>
      </c>
    </row>
    <row r="949" spans="1:6" x14ac:dyDescent="0.25">
      <c r="A949" t="str">
        <f>"69155836"</f>
        <v>69155836</v>
      </c>
      <c r="B949" t="s">
        <v>1059</v>
      </c>
      <c r="C949" t="s">
        <v>15</v>
      </c>
      <c r="D949" t="str">
        <f t="shared" ref="D949:D961" si="46">"577073"</f>
        <v>577073</v>
      </c>
      <c r="E949" t="s">
        <v>1060</v>
      </c>
      <c r="F949" t="s">
        <v>29</v>
      </c>
    </row>
    <row r="950" spans="1:6" x14ac:dyDescent="0.25">
      <c r="A950" t="str">
        <f>"69153159"</f>
        <v>69153159</v>
      </c>
      <c r="B950" t="s">
        <v>1061</v>
      </c>
      <c r="C950" t="s">
        <v>7</v>
      </c>
      <c r="D950" t="str">
        <f t="shared" si="46"/>
        <v>577073</v>
      </c>
      <c r="E950" t="s">
        <v>1060</v>
      </c>
      <c r="F950" t="s">
        <v>328</v>
      </c>
    </row>
    <row r="951" spans="1:6" x14ac:dyDescent="0.25">
      <c r="A951" t="str">
        <f>"49294521"</f>
        <v>49294521</v>
      </c>
      <c r="B951" t="s">
        <v>1062</v>
      </c>
      <c r="C951" t="s">
        <v>7</v>
      </c>
      <c r="D951" t="str">
        <f t="shared" si="46"/>
        <v>577073</v>
      </c>
      <c r="E951" t="s">
        <v>1060</v>
      </c>
      <c r="F951" t="s">
        <v>11</v>
      </c>
    </row>
    <row r="952" spans="1:6" x14ac:dyDescent="0.25">
      <c r="A952" t="str">
        <f>"06653766"</f>
        <v>06653766</v>
      </c>
      <c r="B952" t="s">
        <v>1063</v>
      </c>
      <c r="C952" t="s">
        <v>7</v>
      </c>
      <c r="D952" t="str">
        <f t="shared" si="46"/>
        <v>577073</v>
      </c>
      <c r="E952" t="s">
        <v>1060</v>
      </c>
      <c r="F952" t="s">
        <v>11</v>
      </c>
    </row>
    <row r="953" spans="1:6" x14ac:dyDescent="0.25">
      <c r="A953" t="str">
        <f>"45598991"</f>
        <v>45598991</v>
      </c>
      <c r="B953" t="s">
        <v>1064</v>
      </c>
      <c r="C953" t="s">
        <v>37</v>
      </c>
      <c r="D953" t="str">
        <f t="shared" si="46"/>
        <v>577073</v>
      </c>
      <c r="E953" t="s">
        <v>1060</v>
      </c>
      <c r="F953" t="s">
        <v>38</v>
      </c>
    </row>
    <row r="954" spans="1:6" x14ac:dyDescent="0.25">
      <c r="A954" t="str">
        <f>"22872949"</f>
        <v>22872949</v>
      </c>
      <c r="B954" t="s">
        <v>1065</v>
      </c>
      <c r="C954" t="s">
        <v>7</v>
      </c>
      <c r="D954" t="str">
        <f t="shared" si="46"/>
        <v>577073</v>
      </c>
      <c r="E954" t="s">
        <v>1060</v>
      </c>
      <c r="F954" t="s">
        <v>35</v>
      </c>
    </row>
    <row r="955" spans="1:6" x14ac:dyDescent="0.25">
      <c r="A955" t="str">
        <f>"26566788"</f>
        <v>26566788</v>
      </c>
      <c r="B955" t="s">
        <v>1066</v>
      </c>
      <c r="C955" t="s">
        <v>7</v>
      </c>
      <c r="D955" t="str">
        <f t="shared" si="46"/>
        <v>577073</v>
      </c>
      <c r="E955" t="s">
        <v>1060</v>
      </c>
      <c r="F955" t="s">
        <v>18</v>
      </c>
    </row>
    <row r="956" spans="1:6" x14ac:dyDescent="0.25">
      <c r="A956" t="str">
        <f>"70153761"</f>
        <v>70153761</v>
      </c>
      <c r="B956" t="s">
        <v>1067</v>
      </c>
      <c r="C956" t="s">
        <v>7</v>
      </c>
      <c r="D956" t="str">
        <f t="shared" si="46"/>
        <v>577073</v>
      </c>
      <c r="E956" t="s">
        <v>1060</v>
      </c>
      <c r="F956" t="s">
        <v>38</v>
      </c>
    </row>
    <row r="957" spans="1:6" x14ac:dyDescent="0.25">
      <c r="A957" t="str">
        <f>"62013025"</f>
        <v>62013025</v>
      </c>
      <c r="B957" t="s">
        <v>1068</v>
      </c>
      <c r="C957" t="s">
        <v>15</v>
      </c>
      <c r="D957" t="str">
        <f t="shared" si="46"/>
        <v>577073</v>
      </c>
      <c r="E957" t="s">
        <v>1060</v>
      </c>
      <c r="F957" t="s">
        <v>16</v>
      </c>
    </row>
    <row r="958" spans="1:6" x14ac:dyDescent="0.25">
      <c r="A958" t="str">
        <f>"62012983"</f>
        <v>62012983</v>
      </c>
      <c r="B958" t="s">
        <v>1069</v>
      </c>
      <c r="C958" t="s">
        <v>15</v>
      </c>
      <c r="D958" t="str">
        <f t="shared" si="46"/>
        <v>577073</v>
      </c>
      <c r="E958" t="s">
        <v>1060</v>
      </c>
      <c r="F958" t="s">
        <v>16</v>
      </c>
    </row>
    <row r="959" spans="1:6" x14ac:dyDescent="0.25">
      <c r="A959" t="str">
        <f>"62013271"</f>
        <v>62013271</v>
      </c>
      <c r="B959" t="s">
        <v>1070</v>
      </c>
      <c r="C959" t="s">
        <v>15</v>
      </c>
      <c r="D959" t="str">
        <f t="shared" si="46"/>
        <v>577073</v>
      </c>
      <c r="E959" t="s">
        <v>1060</v>
      </c>
      <c r="F959" t="s">
        <v>16</v>
      </c>
    </row>
    <row r="960" spans="1:6" x14ac:dyDescent="0.25">
      <c r="A960" t="str">
        <f>"49295080"</f>
        <v>49295080</v>
      </c>
      <c r="B960" t="s">
        <v>1071</v>
      </c>
      <c r="C960" t="s">
        <v>7</v>
      </c>
      <c r="D960" t="str">
        <f t="shared" si="46"/>
        <v>577073</v>
      </c>
      <c r="E960" t="s">
        <v>1060</v>
      </c>
      <c r="F960" t="s">
        <v>65</v>
      </c>
    </row>
    <row r="961" spans="1:6" x14ac:dyDescent="0.25">
      <c r="A961" t="str">
        <f>"04854128"</f>
        <v>04854128</v>
      </c>
      <c r="B961" t="s">
        <v>1072</v>
      </c>
      <c r="C961" t="s">
        <v>7</v>
      </c>
      <c r="D961" t="str">
        <f t="shared" si="46"/>
        <v>577073</v>
      </c>
      <c r="E961" t="s">
        <v>1060</v>
      </c>
      <c r="F961" t="s">
        <v>29</v>
      </c>
    </row>
    <row r="962" spans="1:6" x14ac:dyDescent="0.25">
      <c r="A962" t="str">
        <f>"04717210"</f>
        <v>04717210</v>
      </c>
      <c r="B962" t="s">
        <v>1073</v>
      </c>
      <c r="C962" t="s">
        <v>7</v>
      </c>
      <c r="D962" t="str">
        <f t="shared" ref="D962:D977" si="47">"577162"</f>
        <v>577162</v>
      </c>
      <c r="E962" t="s">
        <v>1074</v>
      </c>
      <c r="F962" t="s">
        <v>29</v>
      </c>
    </row>
    <row r="963" spans="1:6" x14ac:dyDescent="0.25">
      <c r="A963" t="str">
        <f>"68211678"</f>
        <v>68211678</v>
      </c>
      <c r="B963" t="s">
        <v>1075</v>
      </c>
      <c r="C963" t="s">
        <v>15</v>
      </c>
      <c r="D963" t="str">
        <f t="shared" si="47"/>
        <v>577162</v>
      </c>
      <c r="E963" t="s">
        <v>1074</v>
      </c>
      <c r="F963" t="s">
        <v>29</v>
      </c>
    </row>
    <row r="964" spans="1:6" x14ac:dyDescent="0.25">
      <c r="A964" t="str">
        <f>"27029263"</f>
        <v>27029263</v>
      </c>
      <c r="B964" t="s">
        <v>1076</v>
      </c>
      <c r="C964" t="s">
        <v>7</v>
      </c>
      <c r="D964" t="str">
        <f t="shared" si="47"/>
        <v>577162</v>
      </c>
      <c r="E964" t="s">
        <v>1074</v>
      </c>
      <c r="F964" t="s">
        <v>11</v>
      </c>
    </row>
    <row r="965" spans="1:6" x14ac:dyDescent="0.25">
      <c r="A965" t="str">
        <f>"62014366"</f>
        <v>62014366</v>
      </c>
      <c r="B965" t="s">
        <v>1077</v>
      </c>
      <c r="C965" t="s">
        <v>7</v>
      </c>
      <c r="D965" t="str">
        <f t="shared" si="47"/>
        <v>577162</v>
      </c>
      <c r="E965" t="s">
        <v>1074</v>
      </c>
      <c r="F965" t="s">
        <v>9</v>
      </c>
    </row>
    <row r="966" spans="1:6" x14ac:dyDescent="0.25">
      <c r="A966" t="str">
        <f>"49294512"</f>
        <v>49294512</v>
      </c>
      <c r="B966" t="s">
        <v>1078</v>
      </c>
      <c r="C966" t="s">
        <v>7</v>
      </c>
      <c r="D966" t="str">
        <f t="shared" si="47"/>
        <v>577162</v>
      </c>
      <c r="E966" t="s">
        <v>1074</v>
      </c>
      <c r="F966" t="s">
        <v>38</v>
      </c>
    </row>
    <row r="967" spans="1:6" x14ac:dyDescent="0.25">
      <c r="A967" t="str">
        <f>"70962031"</f>
        <v>70962031</v>
      </c>
      <c r="B967" t="s">
        <v>1079</v>
      </c>
      <c r="C967" t="s">
        <v>15</v>
      </c>
      <c r="D967" t="str">
        <f t="shared" si="47"/>
        <v>577162</v>
      </c>
      <c r="E967" t="s">
        <v>1074</v>
      </c>
      <c r="F967" t="s">
        <v>29</v>
      </c>
    </row>
    <row r="968" spans="1:6" x14ac:dyDescent="0.25">
      <c r="A968" t="str">
        <f>"15045706"</f>
        <v>15045706</v>
      </c>
      <c r="B968" t="s">
        <v>1080</v>
      </c>
      <c r="C968" t="s">
        <v>43</v>
      </c>
      <c r="D968" t="str">
        <f t="shared" si="47"/>
        <v>577162</v>
      </c>
      <c r="E968" t="s">
        <v>1074</v>
      </c>
      <c r="F968" t="s">
        <v>44</v>
      </c>
    </row>
    <row r="969" spans="1:6" x14ac:dyDescent="0.25">
      <c r="A969" t="str">
        <f>"49295900"</f>
        <v>49295900</v>
      </c>
      <c r="B969" t="s">
        <v>1081</v>
      </c>
      <c r="C969" t="s">
        <v>43</v>
      </c>
      <c r="D969" t="str">
        <f t="shared" si="47"/>
        <v>577162</v>
      </c>
      <c r="E969" t="s">
        <v>1074</v>
      </c>
      <c r="F969" t="s">
        <v>44</v>
      </c>
    </row>
    <row r="970" spans="1:6" x14ac:dyDescent="0.25">
      <c r="A970" t="str">
        <f>"62014251"</f>
        <v>62014251</v>
      </c>
      <c r="B970" t="s">
        <v>1082</v>
      </c>
      <c r="C970" t="s">
        <v>15</v>
      </c>
      <c r="D970" t="str">
        <f t="shared" si="47"/>
        <v>577162</v>
      </c>
      <c r="E970" t="s">
        <v>1074</v>
      </c>
      <c r="F970" t="s">
        <v>16</v>
      </c>
    </row>
    <row r="971" spans="1:6" x14ac:dyDescent="0.25">
      <c r="A971" t="str">
        <f>"62013670"</f>
        <v>62013670</v>
      </c>
      <c r="B971" t="s">
        <v>1083</v>
      </c>
      <c r="C971" t="s">
        <v>15</v>
      </c>
      <c r="D971" t="str">
        <f t="shared" si="47"/>
        <v>577162</v>
      </c>
      <c r="E971" t="s">
        <v>1074</v>
      </c>
      <c r="F971" t="s">
        <v>16</v>
      </c>
    </row>
    <row r="972" spans="1:6" x14ac:dyDescent="0.25">
      <c r="A972" t="str">
        <f>"15045340"</f>
        <v>15045340</v>
      </c>
      <c r="B972" t="s">
        <v>1084</v>
      </c>
      <c r="C972" t="s">
        <v>15</v>
      </c>
      <c r="D972" t="str">
        <f t="shared" si="47"/>
        <v>577162</v>
      </c>
      <c r="E972" t="s">
        <v>1074</v>
      </c>
      <c r="F972" t="s">
        <v>16</v>
      </c>
    </row>
    <row r="973" spans="1:6" x14ac:dyDescent="0.25">
      <c r="A973" t="str">
        <f>"07738447"</f>
        <v>07738447</v>
      </c>
      <c r="B973" t="s">
        <v>1085</v>
      </c>
      <c r="C973" t="s">
        <v>7</v>
      </c>
      <c r="D973" t="str">
        <f t="shared" si="47"/>
        <v>577162</v>
      </c>
      <c r="E973" t="s">
        <v>1074</v>
      </c>
      <c r="F973" t="s">
        <v>11</v>
      </c>
    </row>
    <row r="974" spans="1:6" x14ac:dyDescent="0.25">
      <c r="A974" t="str">
        <f>"27001369"</f>
        <v>27001369</v>
      </c>
      <c r="B974" t="s">
        <v>1086</v>
      </c>
      <c r="C974" t="s">
        <v>7</v>
      </c>
      <c r="D974" t="str">
        <f t="shared" si="47"/>
        <v>577162</v>
      </c>
      <c r="E974" t="s">
        <v>1074</v>
      </c>
      <c r="F974" t="s">
        <v>11</v>
      </c>
    </row>
    <row r="975" spans="1:6" x14ac:dyDescent="0.25">
      <c r="A975" t="str">
        <f>"00527459"</f>
        <v>00527459</v>
      </c>
      <c r="B975" t="s">
        <v>1087</v>
      </c>
      <c r="C975" t="s">
        <v>7</v>
      </c>
      <c r="D975" t="str">
        <f t="shared" si="47"/>
        <v>577162</v>
      </c>
      <c r="E975" t="s">
        <v>1074</v>
      </c>
      <c r="F975" t="s">
        <v>65</v>
      </c>
    </row>
    <row r="976" spans="1:6" x14ac:dyDescent="0.25">
      <c r="A976" t="str">
        <f>"69174555"</f>
        <v>69174555</v>
      </c>
      <c r="B976" t="s">
        <v>1088</v>
      </c>
      <c r="C976" t="s">
        <v>20</v>
      </c>
      <c r="D976" t="str">
        <f t="shared" si="47"/>
        <v>577162</v>
      </c>
      <c r="E976" t="s">
        <v>1074</v>
      </c>
      <c r="F976" t="s">
        <v>21</v>
      </c>
    </row>
    <row r="977" spans="1:6" x14ac:dyDescent="0.25">
      <c r="A977" t="str">
        <f>"04499671"</f>
        <v>04499671</v>
      </c>
      <c r="B977" t="s">
        <v>1089</v>
      </c>
      <c r="C977" t="s">
        <v>20</v>
      </c>
      <c r="D977" t="str">
        <f t="shared" si="47"/>
        <v>577162</v>
      </c>
      <c r="E977" t="s">
        <v>1074</v>
      </c>
      <c r="F977" t="s">
        <v>21</v>
      </c>
    </row>
    <row r="978" spans="1:6" x14ac:dyDescent="0.25">
      <c r="A978" t="str">
        <f>"22829601"</f>
        <v>22829601</v>
      </c>
      <c r="B978" t="s">
        <v>1090</v>
      </c>
      <c r="C978" t="s">
        <v>7</v>
      </c>
      <c r="D978" t="str">
        <f t="shared" ref="D978:D1041" si="48">"563510"</f>
        <v>563510</v>
      </c>
      <c r="E978" t="s">
        <v>1091</v>
      </c>
      <c r="F978" t="s">
        <v>62</v>
      </c>
    </row>
    <row r="979" spans="1:6" x14ac:dyDescent="0.25">
      <c r="A979" t="str">
        <f>"27007863"</f>
        <v>27007863</v>
      </c>
      <c r="B979" t="s">
        <v>1092</v>
      </c>
      <c r="C979" t="s">
        <v>7</v>
      </c>
      <c r="D979" t="str">
        <f t="shared" si="48"/>
        <v>563510</v>
      </c>
      <c r="E979" t="s">
        <v>1091</v>
      </c>
      <c r="F979" t="s">
        <v>9</v>
      </c>
    </row>
    <row r="980" spans="1:6" x14ac:dyDescent="0.25">
      <c r="A980" t="str">
        <f>"17776309"</f>
        <v>17776309</v>
      </c>
      <c r="B980" t="s">
        <v>1093</v>
      </c>
      <c r="C980" t="s">
        <v>7</v>
      </c>
      <c r="D980" t="str">
        <f t="shared" si="48"/>
        <v>563510</v>
      </c>
      <c r="E980" t="s">
        <v>1091</v>
      </c>
      <c r="F980" t="s">
        <v>11</v>
      </c>
    </row>
    <row r="981" spans="1:6" x14ac:dyDescent="0.25">
      <c r="A981" t="str">
        <f>"22233903"</f>
        <v>22233903</v>
      </c>
      <c r="B981" t="s">
        <v>1094</v>
      </c>
      <c r="C981" t="s">
        <v>7</v>
      </c>
      <c r="D981" t="str">
        <f t="shared" si="48"/>
        <v>563510</v>
      </c>
      <c r="E981" t="s">
        <v>1091</v>
      </c>
      <c r="F981" t="s">
        <v>11</v>
      </c>
    </row>
    <row r="982" spans="1:6" x14ac:dyDescent="0.25">
      <c r="A982" t="str">
        <f>"08309558"</f>
        <v>08309558</v>
      </c>
      <c r="B982" t="s">
        <v>1095</v>
      </c>
      <c r="C982" t="s">
        <v>7</v>
      </c>
      <c r="D982" t="str">
        <f t="shared" si="48"/>
        <v>563510</v>
      </c>
      <c r="E982" t="s">
        <v>1091</v>
      </c>
      <c r="F982" t="s">
        <v>1096</v>
      </c>
    </row>
    <row r="983" spans="1:6" x14ac:dyDescent="0.25">
      <c r="A983" t="str">
        <f>"22098259"</f>
        <v>22098259</v>
      </c>
      <c r="B983" t="s">
        <v>1097</v>
      </c>
      <c r="C983" t="s">
        <v>7</v>
      </c>
      <c r="D983" t="str">
        <f t="shared" si="48"/>
        <v>563510</v>
      </c>
      <c r="E983" t="s">
        <v>1091</v>
      </c>
      <c r="F983" t="s">
        <v>11</v>
      </c>
    </row>
    <row r="984" spans="1:6" x14ac:dyDescent="0.25">
      <c r="A984" t="str">
        <f>"21082294"</f>
        <v>21082294</v>
      </c>
      <c r="B984" t="s">
        <v>1098</v>
      </c>
      <c r="C984" t="s">
        <v>43</v>
      </c>
      <c r="D984" t="str">
        <f t="shared" si="48"/>
        <v>563510</v>
      </c>
      <c r="E984" t="s">
        <v>1091</v>
      </c>
      <c r="F984" t="s">
        <v>44</v>
      </c>
    </row>
    <row r="985" spans="1:6" x14ac:dyDescent="0.25">
      <c r="A985" t="str">
        <f>"22675841"</f>
        <v>22675841</v>
      </c>
      <c r="B985" t="s">
        <v>1099</v>
      </c>
      <c r="C985" t="s">
        <v>7</v>
      </c>
      <c r="D985" t="str">
        <f t="shared" si="48"/>
        <v>563510</v>
      </c>
      <c r="E985" t="s">
        <v>1091</v>
      </c>
      <c r="F985" t="s">
        <v>11</v>
      </c>
    </row>
    <row r="986" spans="1:6" x14ac:dyDescent="0.25">
      <c r="A986" t="str">
        <f>"26589141"</f>
        <v>26589141</v>
      </c>
      <c r="B986" t="s">
        <v>1100</v>
      </c>
      <c r="C986" t="s">
        <v>7</v>
      </c>
      <c r="D986" t="str">
        <f t="shared" si="48"/>
        <v>563510</v>
      </c>
      <c r="E986" t="s">
        <v>1091</v>
      </c>
      <c r="F986" t="s">
        <v>11</v>
      </c>
    </row>
    <row r="987" spans="1:6" x14ac:dyDescent="0.25">
      <c r="A987" t="str">
        <f>"26579235"</f>
        <v>26579235</v>
      </c>
      <c r="B987" t="s">
        <v>1101</v>
      </c>
      <c r="C987" t="s">
        <v>7</v>
      </c>
      <c r="D987" t="str">
        <f t="shared" si="48"/>
        <v>563510</v>
      </c>
      <c r="E987" t="s">
        <v>1091</v>
      </c>
      <c r="F987" t="s">
        <v>11</v>
      </c>
    </row>
    <row r="988" spans="1:6" x14ac:dyDescent="0.25">
      <c r="A988" t="str">
        <f>"08277737"</f>
        <v>08277737</v>
      </c>
      <c r="B988" t="s">
        <v>1102</v>
      </c>
      <c r="C988" t="s">
        <v>7</v>
      </c>
      <c r="D988" t="str">
        <f t="shared" si="48"/>
        <v>563510</v>
      </c>
      <c r="E988" t="s">
        <v>1091</v>
      </c>
      <c r="F988" t="s">
        <v>11</v>
      </c>
    </row>
    <row r="989" spans="1:6" x14ac:dyDescent="0.25">
      <c r="A989" t="str">
        <f>"60253177"</f>
        <v>60253177</v>
      </c>
      <c r="B989" t="s">
        <v>1103</v>
      </c>
      <c r="C989" t="s">
        <v>15</v>
      </c>
      <c r="D989" t="str">
        <f t="shared" si="48"/>
        <v>563510</v>
      </c>
      <c r="E989" t="s">
        <v>1091</v>
      </c>
      <c r="F989" t="s">
        <v>137</v>
      </c>
    </row>
    <row r="990" spans="1:6" x14ac:dyDescent="0.25">
      <c r="A990" t="str">
        <f>"06351131"</f>
        <v>06351131</v>
      </c>
      <c r="B990" t="s">
        <v>1104</v>
      </c>
      <c r="C990" t="s">
        <v>7</v>
      </c>
      <c r="D990" t="str">
        <f t="shared" si="48"/>
        <v>563510</v>
      </c>
      <c r="E990" t="s">
        <v>1091</v>
      </c>
      <c r="F990" t="s">
        <v>11</v>
      </c>
    </row>
    <row r="991" spans="1:6" x14ac:dyDescent="0.25">
      <c r="A991" t="str">
        <f>"71187286"</f>
        <v>71187286</v>
      </c>
      <c r="B991" t="s">
        <v>1105</v>
      </c>
      <c r="C991" t="s">
        <v>15</v>
      </c>
      <c r="D991" t="str">
        <f t="shared" si="48"/>
        <v>563510</v>
      </c>
      <c r="E991" t="s">
        <v>1091</v>
      </c>
      <c r="F991" t="s">
        <v>139</v>
      </c>
    </row>
    <row r="992" spans="1:6" x14ac:dyDescent="0.25">
      <c r="A992" t="str">
        <f>"00204960"</f>
        <v>00204960</v>
      </c>
      <c r="B992" t="s">
        <v>1106</v>
      </c>
      <c r="C992" t="s">
        <v>7</v>
      </c>
      <c r="D992" t="str">
        <f t="shared" si="48"/>
        <v>563510</v>
      </c>
      <c r="E992" t="s">
        <v>1091</v>
      </c>
      <c r="F992" t="s">
        <v>11</v>
      </c>
    </row>
    <row r="993" spans="1:6" x14ac:dyDescent="0.25">
      <c r="A993" t="str">
        <f>"22719393"</f>
        <v>22719393</v>
      </c>
      <c r="B993" t="s">
        <v>1107</v>
      </c>
      <c r="C993" t="s">
        <v>7</v>
      </c>
      <c r="D993" t="str">
        <f t="shared" si="48"/>
        <v>563510</v>
      </c>
      <c r="E993" t="s">
        <v>1091</v>
      </c>
      <c r="F993" t="s">
        <v>137</v>
      </c>
    </row>
    <row r="994" spans="1:6" x14ac:dyDescent="0.25">
      <c r="A994" t="str">
        <f>"60253649"</f>
        <v>60253649</v>
      </c>
      <c r="B994" t="s">
        <v>1108</v>
      </c>
      <c r="C994" t="s">
        <v>15</v>
      </c>
      <c r="D994" t="str">
        <f t="shared" si="48"/>
        <v>563510</v>
      </c>
      <c r="E994" t="s">
        <v>1091</v>
      </c>
      <c r="F994" t="s">
        <v>29</v>
      </c>
    </row>
    <row r="995" spans="1:6" x14ac:dyDescent="0.25">
      <c r="A995" t="str">
        <f>"70824681"</f>
        <v>70824681</v>
      </c>
      <c r="B995" t="s">
        <v>1109</v>
      </c>
      <c r="C995" t="s">
        <v>15</v>
      </c>
      <c r="D995" t="str">
        <f t="shared" si="48"/>
        <v>563510</v>
      </c>
      <c r="E995" t="s">
        <v>1091</v>
      </c>
      <c r="F995" t="s">
        <v>29</v>
      </c>
    </row>
    <row r="996" spans="1:6" x14ac:dyDescent="0.25">
      <c r="A996" t="str">
        <f>"22683623"</f>
        <v>22683623</v>
      </c>
      <c r="B996" t="s">
        <v>1110</v>
      </c>
      <c r="C996" t="s">
        <v>7</v>
      </c>
      <c r="D996" t="str">
        <f t="shared" si="48"/>
        <v>563510</v>
      </c>
      <c r="E996" t="s">
        <v>1091</v>
      </c>
      <c r="F996" t="s">
        <v>9</v>
      </c>
    </row>
    <row r="997" spans="1:6" x14ac:dyDescent="0.25">
      <c r="A997" t="str">
        <f>"26662914"</f>
        <v>26662914</v>
      </c>
      <c r="B997" t="s">
        <v>1111</v>
      </c>
      <c r="C997" t="s">
        <v>7</v>
      </c>
      <c r="D997" t="str">
        <f t="shared" si="48"/>
        <v>563510</v>
      </c>
      <c r="E997" t="s">
        <v>1091</v>
      </c>
      <c r="F997" t="s">
        <v>9</v>
      </c>
    </row>
    <row r="998" spans="1:6" x14ac:dyDescent="0.25">
      <c r="A998" t="str">
        <f>"64668720"</f>
        <v>64668720</v>
      </c>
      <c r="B998" t="s">
        <v>1112</v>
      </c>
      <c r="C998" t="s">
        <v>7</v>
      </c>
      <c r="D998" t="str">
        <f t="shared" si="48"/>
        <v>563510</v>
      </c>
      <c r="E998" t="s">
        <v>1091</v>
      </c>
      <c r="F998" t="s">
        <v>11</v>
      </c>
    </row>
    <row r="999" spans="1:6" x14ac:dyDescent="0.25">
      <c r="A999" t="str">
        <f>"19549075"</f>
        <v>19549075</v>
      </c>
      <c r="B999" t="s">
        <v>1113</v>
      </c>
      <c r="C999" t="s">
        <v>7</v>
      </c>
      <c r="D999" t="str">
        <f t="shared" si="48"/>
        <v>563510</v>
      </c>
      <c r="E999" t="s">
        <v>1091</v>
      </c>
      <c r="F999" t="s">
        <v>62</v>
      </c>
    </row>
    <row r="1000" spans="1:6" x14ac:dyDescent="0.25">
      <c r="A1000" t="str">
        <f>"09883517"</f>
        <v>09883517</v>
      </c>
      <c r="B1000" t="s">
        <v>1114</v>
      </c>
      <c r="C1000" t="s">
        <v>7</v>
      </c>
      <c r="D1000" t="str">
        <f t="shared" si="48"/>
        <v>563510</v>
      </c>
      <c r="E1000" t="s">
        <v>1091</v>
      </c>
      <c r="F1000" t="s">
        <v>62</v>
      </c>
    </row>
    <row r="1001" spans="1:6" x14ac:dyDescent="0.25">
      <c r="A1001" t="str">
        <f>"05460671"</f>
        <v>05460671</v>
      </c>
      <c r="B1001" t="s">
        <v>1115</v>
      </c>
      <c r="C1001" t="s">
        <v>7</v>
      </c>
      <c r="D1001" t="str">
        <f t="shared" si="48"/>
        <v>563510</v>
      </c>
      <c r="E1001" t="s">
        <v>1091</v>
      </c>
      <c r="F1001" t="s">
        <v>62</v>
      </c>
    </row>
    <row r="1002" spans="1:6" x14ac:dyDescent="0.25">
      <c r="A1002" t="str">
        <f>"26645386"</f>
        <v>26645386</v>
      </c>
      <c r="B1002" t="s">
        <v>1116</v>
      </c>
      <c r="C1002" t="s">
        <v>7</v>
      </c>
      <c r="D1002" t="str">
        <f t="shared" si="48"/>
        <v>563510</v>
      </c>
      <c r="E1002" t="s">
        <v>1091</v>
      </c>
      <c r="F1002" t="s">
        <v>11</v>
      </c>
    </row>
    <row r="1003" spans="1:6" x14ac:dyDescent="0.25">
      <c r="A1003" t="str">
        <f>"26575761"</f>
        <v>26575761</v>
      </c>
      <c r="B1003" t="s">
        <v>1117</v>
      </c>
      <c r="C1003" t="s">
        <v>7</v>
      </c>
      <c r="D1003" t="str">
        <f t="shared" si="48"/>
        <v>563510</v>
      </c>
      <c r="E1003" t="s">
        <v>1091</v>
      </c>
      <c r="F1003" t="s">
        <v>9</v>
      </c>
    </row>
    <row r="1004" spans="1:6" x14ac:dyDescent="0.25">
      <c r="A1004" t="str">
        <f>"60253371"</f>
        <v>60253371</v>
      </c>
      <c r="B1004" t="s">
        <v>1118</v>
      </c>
      <c r="C1004" t="s">
        <v>7</v>
      </c>
      <c r="D1004" t="str">
        <f t="shared" si="48"/>
        <v>563510</v>
      </c>
      <c r="E1004" t="s">
        <v>1091</v>
      </c>
      <c r="F1004" t="s">
        <v>9</v>
      </c>
    </row>
    <row r="1005" spans="1:6" x14ac:dyDescent="0.25">
      <c r="A1005" t="str">
        <f>"14866200"</f>
        <v>14866200</v>
      </c>
      <c r="B1005" t="s">
        <v>1119</v>
      </c>
      <c r="C1005" t="s">
        <v>7</v>
      </c>
      <c r="D1005" t="str">
        <f t="shared" si="48"/>
        <v>563510</v>
      </c>
      <c r="E1005" t="s">
        <v>1091</v>
      </c>
      <c r="F1005" t="s">
        <v>9</v>
      </c>
    </row>
    <row r="1006" spans="1:6" x14ac:dyDescent="0.25">
      <c r="A1006" t="str">
        <f>"70859795"</f>
        <v>70859795</v>
      </c>
      <c r="B1006" t="s">
        <v>1120</v>
      </c>
      <c r="C1006" t="s">
        <v>7</v>
      </c>
      <c r="D1006" t="str">
        <f t="shared" si="48"/>
        <v>563510</v>
      </c>
      <c r="E1006" t="s">
        <v>1091</v>
      </c>
      <c r="F1006" t="s">
        <v>35</v>
      </c>
    </row>
    <row r="1007" spans="1:6" x14ac:dyDescent="0.25">
      <c r="A1007" t="str">
        <f>"05752426"</f>
        <v>05752426</v>
      </c>
      <c r="B1007" t="s">
        <v>1121</v>
      </c>
      <c r="C1007" t="s">
        <v>7</v>
      </c>
      <c r="D1007" t="str">
        <f t="shared" si="48"/>
        <v>563510</v>
      </c>
      <c r="E1007" t="s">
        <v>1091</v>
      </c>
      <c r="F1007" t="s">
        <v>35</v>
      </c>
    </row>
    <row r="1008" spans="1:6" x14ac:dyDescent="0.25">
      <c r="A1008" t="str">
        <f>"04028929"</f>
        <v>04028929</v>
      </c>
      <c r="B1008" t="s">
        <v>1122</v>
      </c>
      <c r="C1008" t="s">
        <v>7</v>
      </c>
      <c r="D1008" t="str">
        <f t="shared" si="48"/>
        <v>563510</v>
      </c>
      <c r="E1008" t="s">
        <v>1091</v>
      </c>
      <c r="F1008" t="s">
        <v>139</v>
      </c>
    </row>
    <row r="1009" spans="1:6" x14ac:dyDescent="0.25">
      <c r="A1009" t="str">
        <f>"02451701"</f>
        <v>02451701</v>
      </c>
      <c r="B1009" t="s">
        <v>1123</v>
      </c>
      <c r="C1009" t="s">
        <v>7</v>
      </c>
      <c r="D1009" t="str">
        <f t="shared" si="48"/>
        <v>563510</v>
      </c>
      <c r="E1009" t="s">
        <v>1091</v>
      </c>
      <c r="F1009" t="s">
        <v>389</v>
      </c>
    </row>
    <row r="1010" spans="1:6" x14ac:dyDescent="0.25">
      <c r="A1010" t="str">
        <f>"22326642"</f>
        <v>22326642</v>
      </c>
      <c r="B1010" t="s">
        <v>1124</v>
      </c>
      <c r="C1010" t="s">
        <v>7</v>
      </c>
      <c r="D1010" t="str">
        <f t="shared" si="48"/>
        <v>563510</v>
      </c>
      <c r="E1010" t="s">
        <v>1091</v>
      </c>
      <c r="F1010" t="s">
        <v>18</v>
      </c>
    </row>
    <row r="1011" spans="1:6" x14ac:dyDescent="0.25">
      <c r="A1011" t="str">
        <f>"22868836"</f>
        <v>22868836</v>
      </c>
      <c r="B1011" t="s">
        <v>1125</v>
      </c>
      <c r="C1011" t="s">
        <v>7</v>
      </c>
      <c r="D1011" t="str">
        <f t="shared" si="48"/>
        <v>563510</v>
      </c>
      <c r="E1011" t="s">
        <v>1091</v>
      </c>
      <c r="F1011" t="s">
        <v>62</v>
      </c>
    </row>
    <row r="1012" spans="1:6" x14ac:dyDescent="0.25">
      <c r="A1012" t="str">
        <f>"63154536"</f>
        <v>63154536</v>
      </c>
      <c r="B1012" t="s">
        <v>1126</v>
      </c>
      <c r="C1012" t="s">
        <v>7</v>
      </c>
      <c r="D1012" t="str">
        <f t="shared" si="48"/>
        <v>563510</v>
      </c>
      <c r="E1012" t="s">
        <v>1091</v>
      </c>
      <c r="F1012" t="s">
        <v>381</v>
      </c>
    </row>
    <row r="1013" spans="1:6" x14ac:dyDescent="0.25">
      <c r="A1013" t="str">
        <f>"26605015"</f>
        <v>26605015</v>
      </c>
      <c r="B1013" t="s">
        <v>1127</v>
      </c>
      <c r="C1013" t="s">
        <v>7</v>
      </c>
      <c r="D1013" t="str">
        <f t="shared" si="48"/>
        <v>563510</v>
      </c>
      <c r="E1013" t="s">
        <v>1091</v>
      </c>
      <c r="F1013" t="s">
        <v>9</v>
      </c>
    </row>
    <row r="1014" spans="1:6" x14ac:dyDescent="0.25">
      <c r="A1014" t="str">
        <f>"26989701"</f>
        <v>26989701</v>
      </c>
      <c r="B1014" t="s">
        <v>1128</v>
      </c>
      <c r="C1014" t="s">
        <v>7</v>
      </c>
      <c r="D1014" t="str">
        <f t="shared" si="48"/>
        <v>563510</v>
      </c>
      <c r="E1014" t="s">
        <v>1091</v>
      </c>
      <c r="F1014" t="s">
        <v>11</v>
      </c>
    </row>
    <row r="1015" spans="1:6" x14ac:dyDescent="0.25">
      <c r="A1015" t="str">
        <f>"09086889"</f>
        <v>09086889</v>
      </c>
      <c r="B1015" t="s">
        <v>1129</v>
      </c>
      <c r="C1015" t="s">
        <v>7</v>
      </c>
      <c r="D1015" t="str">
        <f t="shared" si="48"/>
        <v>563510</v>
      </c>
      <c r="E1015" t="s">
        <v>1091</v>
      </c>
      <c r="F1015" t="s">
        <v>62</v>
      </c>
    </row>
    <row r="1016" spans="1:6" x14ac:dyDescent="0.25">
      <c r="A1016" t="str">
        <f>"05344417"</f>
        <v>05344417</v>
      </c>
      <c r="B1016" t="s">
        <v>1130</v>
      </c>
      <c r="C1016" t="s">
        <v>27</v>
      </c>
      <c r="D1016" t="str">
        <f t="shared" si="48"/>
        <v>563510</v>
      </c>
      <c r="E1016" t="s">
        <v>1091</v>
      </c>
      <c r="F1016" t="s">
        <v>11</v>
      </c>
    </row>
    <row r="1017" spans="1:6" x14ac:dyDescent="0.25">
      <c r="A1017" t="str">
        <f>"22677020"</f>
        <v>22677020</v>
      </c>
      <c r="B1017" t="s">
        <v>1131</v>
      </c>
      <c r="C1017" t="s">
        <v>7</v>
      </c>
      <c r="D1017" t="str">
        <f t="shared" si="48"/>
        <v>563510</v>
      </c>
      <c r="E1017" t="s">
        <v>1091</v>
      </c>
      <c r="F1017" t="s">
        <v>9</v>
      </c>
    </row>
    <row r="1018" spans="1:6" x14ac:dyDescent="0.25">
      <c r="A1018" t="str">
        <f>"22863150"</f>
        <v>22863150</v>
      </c>
      <c r="B1018" t="s">
        <v>1132</v>
      </c>
      <c r="C1018" t="s">
        <v>7</v>
      </c>
      <c r="D1018" t="str">
        <f t="shared" si="48"/>
        <v>563510</v>
      </c>
      <c r="E1018" t="s">
        <v>1091</v>
      </c>
      <c r="F1018" t="s">
        <v>18</v>
      </c>
    </row>
    <row r="1019" spans="1:6" x14ac:dyDescent="0.25">
      <c r="A1019" t="str">
        <f>"44224613"</f>
        <v>44224613</v>
      </c>
      <c r="B1019" t="s">
        <v>1133</v>
      </c>
      <c r="C1019" t="s">
        <v>1134</v>
      </c>
      <c r="D1019" t="str">
        <f t="shared" si="48"/>
        <v>563510</v>
      </c>
      <c r="E1019" t="s">
        <v>1091</v>
      </c>
      <c r="F1019" t="s">
        <v>389</v>
      </c>
    </row>
    <row r="1020" spans="1:6" x14ac:dyDescent="0.25">
      <c r="A1020" t="str">
        <f>"01722077"</f>
        <v>01722077</v>
      </c>
      <c r="B1020" t="s">
        <v>1135</v>
      </c>
      <c r="C1020" t="s">
        <v>7</v>
      </c>
      <c r="D1020" t="str">
        <f t="shared" si="48"/>
        <v>563510</v>
      </c>
      <c r="E1020" t="s">
        <v>1091</v>
      </c>
      <c r="F1020" t="s">
        <v>62</v>
      </c>
    </row>
    <row r="1021" spans="1:6" x14ac:dyDescent="0.25">
      <c r="A1021" t="str">
        <f>"43257062"</f>
        <v>43257062</v>
      </c>
      <c r="B1021" t="s">
        <v>1136</v>
      </c>
      <c r="C1021" t="s">
        <v>15</v>
      </c>
      <c r="D1021" t="str">
        <f t="shared" si="48"/>
        <v>563510</v>
      </c>
      <c r="E1021" t="s">
        <v>1091</v>
      </c>
      <c r="F1021" t="s">
        <v>11</v>
      </c>
    </row>
    <row r="1022" spans="1:6" x14ac:dyDescent="0.25">
      <c r="A1022" t="str">
        <f>"18382649"</f>
        <v>18382649</v>
      </c>
      <c r="B1022" t="s">
        <v>1137</v>
      </c>
      <c r="C1022" t="s">
        <v>7</v>
      </c>
      <c r="D1022" t="str">
        <f t="shared" si="48"/>
        <v>563510</v>
      </c>
      <c r="E1022" t="s">
        <v>1091</v>
      </c>
      <c r="F1022" t="s">
        <v>11</v>
      </c>
    </row>
    <row r="1023" spans="1:6" x14ac:dyDescent="0.25">
      <c r="A1023" t="str">
        <f>"07930330"</f>
        <v>07930330</v>
      </c>
      <c r="B1023" t="s">
        <v>1138</v>
      </c>
      <c r="C1023" t="s">
        <v>7</v>
      </c>
      <c r="D1023" t="str">
        <f t="shared" si="48"/>
        <v>563510</v>
      </c>
      <c r="E1023" t="s">
        <v>1091</v>
      </c>
      <c r="F1023" t="s">
        <v>62</v>
      </c>
    </row>
    <row r="1024" spans="1:6" x14ac:dyDescent="0.25">
      <c r="A1024" t="str">
        <f>"05930596"</f>
        <v>05930596</v>
      </c>
      <c r="B1024" t="s">
        <v>1139</v>
      </c>
      <c r="C1024" t="s">
        <v>7</v>
      </c>
      <c r="D1024" t="str">
        <f t="shared" si="48"/>
        <v>563510</v>
      </c>
      <c r="E1024" t="s">
        <v>1091</v>
      </c>
      <c r="F1024" t="s">
        <v>11</v>
      </c>
    </row>
    <row r="1025" spans="1:6" x14ac:dyDescent="0.25">
      <c r="A1025" t="str">
        <f>"67777201"</f>
        <v>67777201</v>
      </c>
      <c r="B1025" t="s">
        <v>1140</v>
      </c>
      <c r="C1025" t="s">
        <v>15</v>
      </c>
      <c r="D1025" t="str">
        <f t="shared" si="48"/>
        <v>563510</v>
      </c>
      <c r="E1025" t="s">
        <v>1091</v>
      </c>
      <c r="F1025" t="s">
        <v>38</v>
      </c>
    </row>
    <row r="1026" spans="1:6" x14ac:dyDescent="0.25">
      <c r="A1026" t="str">
        <f>"26571951"</f>
        <v>26571951</v>
      </c>
      <c r="B1026" t="s">
        <v>1141</v>
      </c>
      <c r="C1026" t="s">
        <v>7</v>
      </c>
      <c r="D1026" t="str">
        <f t="shared" si="48"/>
        <v>563510</v>
      </c>
      <c r="E1026" t="s">
        <v>1091</v>
      </c>
      <c r="F1026" t="s">
        <v>29</v>
      </c>
    </row>
    <row r="1027" spans="1:6" x14ac:dyDescent="0.25">
      <c r="A1027" t="str">
        <f>"70900256"</f>
        <v>70900256</v>
      </c>
      <c r="B1027" t="s">
        <v>1142</v>
      </c>
      <c r="C1027" t="s">
        <v>15</v>
      </c>
      <c r="D1027" t="str">
        <f t="shared" si="48"/>
        <v>563510</v>
      </c>
      <c r="E1027" t="s">
        <v>1091</v>
      </c>
      <c r="F1027" t="s">
        <v>11</v>
      </c>
    </row>
    <row r="1028" spans="1:6" x14ac:dyDescent="0.25">
      <c r="A1028" t="str">
        <f>"68299036"</f>
        <v>68299036</v>
      </c>
      <c r="B1028" t="s">
        <v>1143</v>
      </c>
      <c r="C1028" t="s">
        <v>15</v>
      </c>
      <c r="D1028" t="str">
        <f t="shared" si="48"/>
        <v>563510</v>
      </c>
      <c r="E1028" t="s">
        <v>1091</v>
      </c>
      <c r="F1028" t="s">
        <v>29</v>
      </c>
    </row>
    <row r="1029" spans="1:6" x14ac:dyDescent="0.25">
      <c r="A1029" t="str">
        <f>"72071494"</f>
        <v>72071494</v>
      </c>
      <c r="B1029" t="s">
        <v>1144</v>
      </c>
      <c r="C1029" t="s">
        <v>15</v>
      </c>
      <c r="D1029" t="str">
        <f t="shared" si="48"/>
        <v>563510</v>
      </c>
      <c r="E1029" t="s">
        <v>1091</v>
      </c>
      <c r="F1029" t="s">
        <v>29</v>
      </c>
    </row>
    <row r="1030" spans="1:6" x14ac:dyDescent="0.25">
      <c r="A1030" t="str">
        <f>"00482595"</f>
        <v>00482595</v>
      </c>
      <c r="B1030" t="s">
        <v>1145</v>
      </c>
      <c r="C1030" t="s">
        <v>15</v>
      </c>
      <c r="D1030" t="str">
        <f t="shared" si="48"/>
        <v>563510</v>
      </c>
      <c r="E1030" t="s">
        <v>1091</v>
      </c>
      <c r="F1030" t="s">
        <v>29</v>
      </c>
    </row>
    <row r="1031" spans="1:6" x14ac:dyDescent="0.25">
      <c r="A1031" t="str">
        <f>"22743251"</f>
        <v>22743251</v>
      </c>
      <c r="B1031" t="s">
        <v>1146</v>
      </c>
      <c r="C1031" t="s">
        <v>7</v>
      </c>
      <c r="D1031" t="str">
        <f t="shared" si="48"/>
        <v>563510</v>
      </c>
      <c r="E1031" t="s">
        <v>1091</v>
      </c>
      <c r="F1031" t="s">
        <v>389</v>
      </c>
    </row>
    <row r="1032" spans="1:6" x14ac:dyDescent="0.25">
      <c r="A1032" t="str">
        <f>"00448494"</f>
        <v>00448494</v>
      </c>
      <c r="B1032" t="s">
        <v>1147</v>
      </c>
      <c r="C1032" t="s">
        <v>15</v>
      </c>
      <c r="D1032" t="str">
        <f t="shared" si="48"/>
        <v>563510</v>
      </c>
      <c r="E1032" t="s">
        <v>1091</v>
      </c>
      <c r="F1032" t="s">
        <v>29</v>
      </c>
    </row>
    <row r="1033" spans="1:6" x14ac:dyDescent="0.25">
      <c r="A1033" t="str">
        <f>"75106981"</f>
        <v>75106981</v>
      </c>
      <c r="B1033" t="s">
        <v>1148</v>
      </c>
      <c r="C1033" t="s">
        <v>15</v>
      </c>
      <c r="D1033" t="str">
        <f t="shared" si="48"/>
        <v>563510</v>
      </c>
      <c r="E1033" t="s">
        <v>1091</v>
      </c>
      <c r="F1033" t="s">
        <v>29</v>
      </c>
    </row>
    <row r="1034" spans="1:6" x14ac:dyDescent="0.25">
      <c r="A1034" t="str">
        <f>"06764169"</f>
        <v>06764169</v>
      </c>
      <c r="B1034" t="s">
        <v>1149</v>
      </c>
      <c r="C1034" t="s">
        <v>15</v>
      </c>
      <c r="D1034" t="str">
        <f t="shared" si="48"/>
        <v>563510</v>
      </c>
      <c r="E1034" t="s">
        <v>1091</v>
      </c>
      <c r="F1034" t="s">
        <v>18</v>
      </c>
    </row>
    <row r="1035" spans="1:6" x14ac:dyDescent="0.25">
      <c r="A1035" t="str">
        <f>"01944789"</f>
        <v>01944789</v>
      </c>
      <c r="B1035" t="s">
        <v>1150</v>
      </c>
      <c r="C1035" t="s">
        <v>7</v>
      </c>
      <c r="D1035" t="str">
        <f t="shared" si="48"/>
        <v>563510</v>
      </c>
      <c r="E1035" t="s">
        <v>1091</v>
      </c>
      <c r="F1035" t="s">
        <v>62</v>
      </c>
    </row>
    <row r="1036" spans="1:6" x14ac:dyDescent="0.25">
      <c r="A1036" t="str">
        <f>"60254351"</f>
        <v>60254351</v>
      </c>
      <c r="B1036" t="s">
        <v>1151</v>
      </c>
      <c r="C1036" t="s">
        <v>15</v>
      </c>
      <c r="D1036" t="str">
        <f t="shared" si="48"/>
        <v>563510</v>
      </c>
      <c r="E1036" t="s">
        <v>1091</v>
      </c>
      <c r="F1036" t="s">
        <v>29</v>
      </c>
    </row>
    <row r="1037" spans="1:6" x14ac:dyDescent="0.25">
      <c r="A1037" t="str">
        <f>"70947198"</f>
        <v>70947198</v>
      </c>
      <c r="B1037" t="s">
        <v>1152</v>
      </c>
      <c r="C1037" t="s">
        <v>15</v>
      </c>
      <c r="D1037" t="str">
        <f t="shared" si="48"/>
        <v>563510</v>
      </c>
      <c r="E1037" t="s">
        <v>1091</v>
      </c>
      <c r="F1037" t="s">
        <v>11</v>
      </c>
    </row>
    <row r="1038" spans="1:6" x14ac:dyDescent="0.25">
      <c r="A1038" t="str">
        <f>"26555557"</f>
        <v>26555557</v>
      </c>
      <c r="B1038" t="s">
        <v>1153</v>
      </c>
      <c r="C1038" t="s">
        <v>7</v>
      </c>
      <c r="D1038" t="str">
        <f t="shared" si="48"/>
        <v>563510</v>
      </c>
      <c r="E1038" t="s">
        <v>1091</v>
      </c>
      <c r="F1038" t="s">
        <v>11</v>
      </c>
    </row>
    <row r="1039" spans="1:6" x14ac:dyDescent="0.25">
      <c r="A1039" t="str">
        <f>"26569710"</f>
        <v>26569710</v>
      </c>
      <c r="B1039" t="s">
        <v>1154</v>
      </c>
      <c r="C1039" t="s">
        <v>7</v>
      </c>
      <c r="D1039" t="str">
        <f t="shared" si="48"/>
        <v>563510</v>
      </c>
      <c r="E1039" t="s">
        <v>1091</v>
      </c>
      <c r="F1039" t="s">
        <v>11</v>
      </c>
    </row>
    <row r="1040" spans="1:6" x14ac:dyDescent="0.25">
      <c r="A1040" t="str">
        <f>"64668533"</f>
        <v>64668533</v>
      </c>
      <c r="B1040" t="s">
        <v>1155</v>
      </c>
      <c r="C1040" t="s">
        <v>7</v>
      </c>
      <c r="D1040" t="str">
        <f t="shared" si="48"/>
        <v>563510</v>
      </c>
      <c r="E1040" t="s">
        <v>1091</v>
      </c>
      <c r="F1040" t="s">
        <v>9</v>
      </c>
    </row>
    <row r="1041" spans="1:6" x14ac:dyDescent="0.25">
      <c r="A1041" t="str">
        <f>"05875668"</f>
        <v>05875668</v>
      </c>
      <c r="B1041" t="s">
        <v>1156</v>
      </c>
      <c r="C1041" t="s">
        <v>15</v>
      </c>
      <c r="D1041" t="str">
        <f t="shared" si="48"/>
        <v>563510</v>
      </c>
      <c r="E1041" t="s">
        <v>1091</v>
      </c>
      <c r="F1041" t="s">
        <v>62</v>
      </c>
    </row>
    <row r="1042" spans="1:6" x14ac:dyDescent="0.25">
      <c r="A1042" t="str">
        <f>"06518885"</f>
        <v>06518885</v>
      </c>
      <c r="B1042" t="s">
        <v>1157</v>
      </c>
      <c r="C1042" t="s">
        <v>7</v>
      </c>
      <c r="D1042" t="str">
        <f t="shared" ref="D1042:D1105" si="49">"563510"</f>
        <v>563510</v>
      </c>
      <c r="E1042" t="s">
        <v>1091</v>
      </c>
      <c r="F1042" t="s">
        <v>139</v>
      </c>
    </row>
    <row r="1043" spans="1:6" x14ac:dyDescent="0.25">
      <c r="A1043" t="str">
        <f>"71162313"</f>
        <v>71162313</v>
      </c>
      <c r="B1043" t="s">
        <v>1158</v>
      </c>
      <c r="C1043" t="s">
        <v>15</v>
      </c>
      <c r="D1043" t="str">
        <f t="shared" si="49"/>
        <v>563510</v>
      </c>
      <c r="E1043" t="s">
        <v>1091</v>
      </c>
      <c r="F1043" t="s">
        <v>11</v>
      </c>
    </row>
    <row r="1044" spans="1:6" x14ac:dyDescent="0.25">
      <c r="A1044" t="str">
        <f>"17209447"</f>
        <v>17209447</v>
      </c>
      <c r="B1044" t="s">
        <v>1159</v>
      </c>
      <c r="C1044" t="s">
        <v>7</v>
      </c>
      <c r="D1044" t="str">
        <f t="shared" si="49"/>
        <v>563510</v>
      </c>
      <c r="E1044" t="s">
        <v>1091</v>
      </c>
      <c r="F1044" t="s">
        <v>139</v>
      </c>
    </row>
    <row r="1045" spans="1:6" x14ac:dyDescent="0.25">
      <c r="A1045" t="str">
        <f>"60254564"</f>
        <v>60254564</v>
      </c>
      <c r="B1045" t="s">
        <v>1160</v>
      </c>
      <c r="C1045" t="s">
        <v>7</v>
      </c>
      <c r="D1045" t="str">
        <f t="shared" si="49"/>
        <v>563510</v>
      </c>
      <c r="E1045" t="s">
        <v>1091</v>
      </c>
      <c r="F1045" t="s">
        <v>381</v>
      </c>
    </row>
    <row r="1046" spans="1:6" x14ac:dyDescent="0.25">
      <c r="A1046" t="str">
        <f>"73633992"</f>
        <v>73633992</v>
      </c>
      <c r="B1046" t="s">
        <v>1161</v>
      </c>
      <c r="C1046" t="s">
        <v>43</v>
      </c>
      <c r="D1046" t="str">
        <f t="shared" si="49"/>
        <v>563510</v>
      </c>
      <c r="E1046" t="s">
        <v>1091</v>
      </c>
      <c r="F1046" t="s">
        <v>44</v>
      </c>
    </row>
    <row r="1047" spans="1:6" x14ac:dyDescent="0.25">
      <c r="A1047" t="str">
        <f>"60253231"</f>
        <v>60253231</v>
      </c>
      <c r="B1047" t="s">
        <v>1162</v>
      </c>
      <c r="C1047" t="s">
        <v>7</v>
      </c>
      <c r="D1047" t="str">
        <f t="shared" si="49"/>
        <v>563510</v>
      </c>
      <c r="E1047" t="s">
        <v>1091</v>
      </c>
      <c r="F1047" t="s">
        <v>11</v>
      </c>
    </row>
    <row r="1048" spans="1:6" x14ac:dyDescent="0.25">
      <c r="A1048" t="str">
        <f>"10931031"</f>
        <v>10931031</v>
      </c>
      <c r="B1048" t="s">
        <v>1163</v>
      </c>
      <c r="C1048" t="s">
        <v>7</v>
      </c>
      <c r="D1048" t="str">
        <f t="shared" si="49"/>
        <v>563510</v>
      </c>
      <c r="E1048" t="s">
        <v>1091</v>
      </c>
      <c r="F1048" t="s">
        <v>35</v>
      </c>
    </row>
    <row r="1049" spans="1:6" x14ac:dyDescent="0.25">
      <c r="A1049" t="str">
        <f>"05279925"</f>
        <v>05279925</v>
      </c>
      <c r="B1049" t="s">
        <v>1164</v>
      </c>
      <c r="C1049" t="s">
        <v>7</v>
      </c>
      <c r="D1049" t="str">
        <f t="shared" si="49"/>
        <v>563510</v>
      </c>
      <c r="E1049" t="s">
        <v>1091</v>
      </c>
      <c r="F1049" t="s">
        <v>13</v>
      </c>
    </row>
    <row r="1050" spans="1:6" x14ac:dyDescent="0.25">
      <c r="A1050" t="str">
        <f>"64668461"</f>
        <v>64668461</v>
      </c>
      <c r="B1050" t="s">
        <v>1165</v>
      </c>
      <c r="C1050" t="s">
        <v>7</v>
      </c>
      <c r="D1050" t="str">
        <f t="shared" si="49"/>
        <v>563510</v>
      </c>
      <c r="E1050" t="s">
        <v>1091</v>
      </c>
      <c r="F1050" t="s">
        <v>328</v>
      </c>
    </row>
    <row r="1051" spans="1:6" x14ac:dyDescent="0.25">
      <c r="A1051" t="str">
        <f>"43254331"</f>
        <v>43254331</v>
      </c>
      <c r="B1051" t="s">
        <v>1166</v>
      </c>
      <c r="C1051" t="s">
        <v>7</v>
      </c>
      <c r="D1051" t="str">
        <f t="shared" si="49"/>
        <v>563510</v>
      </c>
      <c r="E1051" t="s">
        <v>1091</v>
      </c>
      <c r="F1051" t="s">
        <v>328</v>
      </c>
    </row>
    <row r="1052" spans="1:6" x14ac:dyDescent="0.25">
      <c r="A1052" t="str">
        <f>"22675558"</f>
        <v>22675558</v>
      </c>
      <c r="B1052" t="s">
        <v>1167</v>
      </c>
      <c r="C1052" t="s">
        <v>7</v>
      </c>
      <c r="D1052" t="str">
        <f t="shared" si="49"/>
        <v>563510</v>
      </c>
      <c r="E1052" t="s">
        <v>1091</v>
      </c>
      <c r="F1052" t="s">
        <v>11</v>
      </c>
    </row>
    <row r="1053" spans="1:6" x14ac:dyDescent="0.25">
      <c r="A1053" t="str">
        <f>"06357792"</f>
        <v>06357792</v>
      </c>
      <c r="B1053" t="s">
        <v>1168</v>
      </c>
      <c r="C1053" t="s">
        <v>7</v>
      </c>
      <c r="D1053" t="str">
        <f t="shared" si="49"/>
        <v>563510</v>
      </c>
      <c r="E1053" t="s">
        <v>1091</v>
      </c>
      <c r="F1053" t="s">
        <v>13</v>
      </c>
    </row>
    <row r="1054" spans="1:6" x14ac:dyDescent="0.25">
      <c r="A1054" t="str">
        <f>"22836853"</f>
        <v>22836853</v>
      </c>
      <c r="B1054" t="s">
        <v>1169</v>
      </c>
      <c r="C1054" t="s">
        <v>7</v>
      </c>
      <c r="D1054" t="str">
        <f t="shared" si="49"/>
        <v>563510</v>
      </c>
      <c r="E1054" t="s">
        <v>1091</v>
      </c>
      <c r="F1054" t="s">
        <v>11</v>
      </c>
    </row>
    <row r="1055" spans="1:6" x14ac:dyDescent="0.25">
      <c r="A1055" t="str">
        <f>"02032422"</f>
        <v>02032422</v>
      </c>
      <c r="B1055" t="s">
        <v>1170</v>
      </c>
      <c r="C1055" t="s">
        <v>7</v>
      </c>
      <c r="D1055" t="str">
        <f t="shared" si="49"/>
        <v>563510</v>
      </c>
      <c r="E1055" t="s">
        <v>1091</v>
      </c>
      <c r="F1055" t="s">
        <v>11</v>
      </c>
    </row>
    <row r="1056" spans="1:6" x14ac:dyDescent="0.25">
      <c r="A1056" t="str">
        <f>"07690720"</f>
        <v>07690720</v>
      </c>
      <c r="B1056" t="s">
        <v>1171</v>
      </c>
      <c r="C1056" t="s">
        <v>7</v>
      </c>
      <c r="D1056" t="str">
        <f t="shared" si="49"/>
        <v>563510</v>
      </c>
      <c r="E1056" t="s">
        <v>1091</v>
      </c>
      <c r="F1056" t="s">
        <v>1172</v>
      </c>
    </row>
    <row r="1057" spans="1:6" x14ac:dyDescent="0.25">
      <c r="A1057" t="str">
        <f>"08209138"</f>
        <v>08209138</v>
      </c>
      <c r="B1057" t="s">
        <v>1173</v>
      </c>
      <c r="C1057" t="s">
        <v>7</v>
      </c>
      <c r="D1057" t="str">
        <f t="shared" si="49"/>
        <v>563510</v>
      </c>
      <c r="E1057" t="s">
        <v>1091</v>
      </c>
      <c r="F1057" t="s">
        <v>11</v>
      </c>
    </row>
    <row r="1058" spans="1:6" x14ac:dyDescent="0.25">
      <c r="A1058" t="str">
        <f>"08389144"</f>
        <v>08389144</v>
      </c>
      <c r="B1058" t="s">
        <v>1174</v>
      </c>
      <c r="C1058" t="s">
        <v>7</v>
      </c>
      <c r="D1058" t="str">
        <f t="shared" si="49"/>
        <v>563510</v>
      </c>
      <c r="E1058" t="s">
        <v>1091</v>
      </c>
      <c r="F1058" t="s">
        <v>62</v>
      </c>
    </row>
    <row r="1059" spans="1:6" x14ac:dyDescent="0.25">
      <c r="A1059" t="str">
        <f>"25403702"</f>
        <v>25403702</v>
      </c>
      <c r="B1059" t="s">
        <v>1175</v>
      </c>
      <c r="C1059" t="s">
        <v>78</v>
      </c>
      <c r="D1059" t="str">
        <f t="shared" si="49"/>
        <v>563510</v>
      </c>
      <c r="E1059" t="s">
        <v>1091</v>
      </c>
      <c r="F1059" t="s">
        <v>11</v>
      </c>
    </row>
    <row r="1060" spans="1:6" x14ac:dyDescent="0.25">
      <c r="A1060" t="str">
        <f>"69897867"</f>
        <v>69897867</v>
      </c>
      <c r="B1060" t="s">
        <v>1176</v>
      </c>
      <c r="C1060" t="s">
        <v>7</v>
      </c>
      <c r="D1060" t="str">
        <f t="shared" si="49"/>
        <v>563510</v>
      </c>
      <c r="E1060" t="s">
        <v>1091</v>
      </c>
      <c r="F1060" t="s">
        <v>65</v>
      </c>
    </row>
    <row r="1061" spans="1:6" x14ac:dyDescent="0.25">
      <c r="A1061" t="str">
        <f>"02125412"</f>
        <v>02125412</v>
      </c>
      <c r="B1061" t="s">
        <v>1177</v>
      </c>
      <c r="C1061" t="s">
        <v>7</v>
      </c>
      <c r="D1061" t="str">
        <f t="shared" si="49"/>
        <v>563510</v>
      </c>
      <c r="E1061" t="s">
        <v>1091</v>
      </c>
      <c r="F1061" t="s">
        <v>11</v>
      </c>
    </row>
    <row r="1062" spans="1:6" x14ac:dyDescent="0.25">
      <c r="A1062" t="str">
        <f>"69291811"</f>
        <v>69291811</v>
      </c>
      <c r="B1062" t="s">
        <v>1178</v>
      </c>
      <c r="C1062" t="s">
        <v>7</v>
      </c>
      <c r="D1062" t="str">
        <f t="shared" si="49"/>
        <v>563510</v>
      </c>
      <c r="E1062" t="s">
        <v>1091</v>
      </c>
      <c r="F1062" t="s">
        <v>65</v>
      </c>
    </row>
    <row r="1063" spans="1:6" x14ac:dyDescent="0.25">
      <c r="A1063" t="str">
        <f>"70899495"</f>
        <v>70899495</v>
      </c>
      <c r="B1063" t="s">
        <v>1179</v>
      </c>
      <c r="C1063" t="s">
        <v>15</v>
      </c>
      <c r="D1063" t="str">
        <f t="shared" si="49"/>
        <v>563510</v>
      </c>
      <c r="E1063" t="s">
        <v>1091</v>
      </c>
      <c r="F1063" t="s">
        <v>35</v>
      </c>
    </row>
    <row r="1064" spans="1:6" x14ac:dyDescent="0.25">
      <c r="A1064" t="str">
        <f>"04421230"</f>
        <v>04421230</v>
      </c>
      <c r="B1064" t="s">
        <v>1180</v>
      </c>
      <c r="C1064" t="s">
        <v>7</v>
      </c>
      <c r="D1064" t="str">
        <f t="shared" si="49"/>
        <v>563510</v>
      </c>
      <c r="E1064" t="s">
        <v>1091</v>
      </c>
      <c r="F1064" t="s">
        <v>62</v>
      </c>
    </row>
    <row r="1065" spans="1:6" x14ac:dyDescent="0.25">
      <c r="A1065" t="str">
        <f>"26652463"</f>
        <v>26652463</v>
      </c>
      <c r="B1065" t="s">
        <v>1181</v>
      </c>
      <c r="C1065" t="s">
        <v>7</v>
      </c>
      <c r="D1065" t="str">
        <f t="shared" si="49"/>
        <v>563510</v>
      </c>
      <c r="E1065" t="s">
        <v>1091</v>
      </c>
      <c r="F1065" t="s">
        <v>9</v>
      </c>
    </row>
    <row r="1066" spans="1:6" x14ac:dyDescent="0.25">
      <c r="A1066" t="str">
        <f>"68975031"</f>
        <v>68975031</v>
      </c>
      <c r="B1066" t="s">
        <v>1182</v>
      </c>
      <c r="C1066" t="s">
        <v>7</v>
      </c>
      <c r="D1066" t="str">
        <f t="shared" si="49"/>
        <v>563510</v>
      </c>
      <c r="E1066" t="s">
        <v>1091</v>
      </c>
      <c r="F1066" t="s">
        <v>1183</v>
      </c>
    </row>
    <row r="1067" spans="1:6" x14ac:dyDescent="0.25">
      <c r="A1067" t="str">
        <f>"04012518"</f>
        <v>04012518</v>
      </c>
      <c r="B1067" t="s">
        <v>1184</v>
      </c>
      <c r="C1067" t="s">
        <v>7</v>
      </c>
      <c r="D1067" t="str">
        <f t="shared" si="49"/>
        <v>563510</v>
      </c>
      <c r="E1067" t="s">
        <v>1091</v>
      </c>
      <c r="F1067" t="s">
        <v>13</v>
      </c>
    </row>
    <row r="1068" spans="1:6" x14ac:dyDescent="0.25">
      <c r="A1068" t="str">
        <f>"10960015"</f>
        <v>10960015</v>
      </c>
      <c r="B1068" t="s">
        <v>1185</v>
      </c>
      <c r="C1068" t="s">
        <v>7</v>
      </c>
      <c r="D1068" t="str">
        <f t="shared" si="49"/>
        <v>563510</v>
      </c>
      <c r="E1068" t="s">
        <v>1091</v>
      </c>
      <c r="F1068" t="s">
        <v>44</v>
      </c>
    </row>
    <row r="1069" spans="1:6" x14ac:dyDescent="0.25">
      <c r="A1069" t="str">
        <f>"01358197"</f>
        <v>01358197</v>
      </c>
      <c r="B1069" t="s">
        <v>1186</v>
      </c>
      <c r="C1069" t="s">
        <v>7</v>
      </c>
      <c r="D1069" t="str">
        <f t="shared" si="49"/>
        <v>563510</v>
      </c>
      <c r="E1069" t="s">
        <v>1091</v>
      </c>
      <c r="F1069" t="s">
        <v>11</v>
      </c>
    </row>
    <row r="1070" spans="1:6" x14ac:dyDescent="0.25">
      <c r="A1070" t="str">
        <f>"22837591"</f>
        <v>22837591</v>
      </c>
      <c r="B1070" t="s">
        <v>1187</v>
      </c>
      <c r="C1070" t="s">
        <v>7</v>
      </c>
      <c r="D1070" t="str">
        <f t="shared" si="49"/>
        <v>563510</v>
      </c>
      <c r="E1070" t="s">
        <v>1091</v>
      </c>
      <c r="F1070" t="s">
        <v>137</v>
      </c>
    </row>
    <row r="1071" spans="1:6" x14ac:dyDescent="0.25">
      <c r="A1071" t="str">
        <f>"22830499"</f>
        <v>22830499</v>
      </c>
      <c r="B1071" t="s">
        <v>1188</v>
      </c>
      <c r="C1071" t="s">
        <v>7</v>
      </c>
      <c r="D1071" t="str">
        <f t="shared" si="49"/>
        <v>563510</v>
      </c>
      <c r="E1071" t="s">
        <v>1091</v>
      </c>
      <c r="F1071" t="s">
        <v>29</v>
      </c>
    </row>
    <row r="1072" spans="1:6" x14ac:dyDescent="0.25">
      <c r="A1072" t="str">
        <f>"21363382"</f>
        <v>21363382</v>
      </c>
      <c r="B1072" t="s">
        <v>1189</v>
      </c>
      <c r="C1072" t="s">
        <v>7</v>
      </c>
      <c r="D1072" t="str">
        <f t="shared" si="49"/>
        <v>563510</v>
      </c>
      <c r="E1072" t="s">
        <v>1091</v>
      </c>
      <c r="F1072" t="s">
        <v>11</v>
      </c>
    </row>
    <row r="1073" spans="1:6" x14ac:dyDescent="0.25">
      <c r="A1073" t="str">
        <f>"03369889"</f>
        <v>03369889</v>
      </c>
      <c r="B1073" t="s">
        <v>1190</v>
      </c>
      <c r="C1073" t="s">
        <v>7</v>
      </c>
      <c r="D1073" t="str">
        <f t="shared" si="49"/>
        <v>563510</v>
      </c>
      <c r="E1073" t="s">
        <v>1091</v>
      </c>
      <c r="F1073" t="s">
        <v>11</v>
      </c>
    </row>
    <row r="1074" spans="1:6" x14ac:dyDescent="0.25">
      <c r="A1074" t="str">
        <f>"22814272"</f>
        <v>22814272</v>
      </c>
      <c r="B1074" t="s">
        <v>1191</v>
      </c>
      <c r="C1074" t="s">
        <v>7</v>
      </c>
      <c r="D1074" t="str">
        <f t="shared" si="49"/>
        <v>563510</v>
      </c>
      <c r="E1074" t="s">
        <v>1091</v>
      </c>
      <c r="F1074" t="s">
        <v>9</v>
      </c>
    </row>
    <row r="1075" spans="1:6" x14ac:dyDescent="0.25">
      <c r="A1075" t="str">
        <f>"16389000"</f>
        <v>16389000</v>
      </c>
      <c r="B1075" t="s">
        <v>1192</v>
      </c>
      <c r="C1075" t="s">
        <v>43</v>
      </c>
      <c r="D1075" t="str">
        <f t="shared" si="49"/>
        <v>563510</v>
      </c>
      <c r="E1075" t="s">
        <v>1091</v>
      </c>
      <c r="F1075" t="s">
        <v>44</v>
      </c>
    </row>
    <row r="1076" spans="1:6" x14ac:dyDescent="0.25">
      <c r="A1076" t="str">
        <f>"26995867"</f>
        <v>26995867</v>
      </c>
      <c r="B1076" t="s">
        <v>1193</v>
      </c>
      <c r="C1076" t="s">
        <v>7</v>
      </c>
      <c r="D1076" t="str">
        <f t="shared" si="49"/>
        <v>563510</v>
      </c>
      <c r="E1076" t="s">
        <v>1091</v>
      </c>
      <c r="F1076" t="s">
        <v>9</v>
      </c>
    </row>
    <row r="1077" spans="1:6" x14ac:dyDescent="0.25">
      <c r="A1077" t="str">
        <f>"22837701"</f>
        <v>22837701</v>
      </c>
      <c r="B1077" t="s">
        <v>1194</v>
      </c>
      <c r="C1077" t="s">
        <v>7</v>
      </c>
      <c r="D1077" t="str">
        <f t="shared" si="49"/>
        <v>563510</v>
      </c>
      <c r="E1077" t="s">
        <v>1091</v>
      </c>
      <c r="F1077" t="s">
        <v>137</v>
      </c>
    </row>
    <row r="1078" spans="1:6" x14ac:dyDescent="0.25">
      <c r="A1078" t="str">
        <f>"14071924"</f>
        <v>14071924</v>
      </c>
      <c r="B1078" t="s">
        <v>1195</v>
      </c>
      <c r="C1078" t="s">
        <v>7</v>
      </c>
      <c r="D1078" t="str">
        <f t="shared" si="49"/>
        <v>563510</v>
      </c>
      <c r="E1078" t="s">
        <v>1091</v>
      </c>
      <c r="F1078" t="s">
        <v>62</v>
      </c>
    </row>
    <row r="1079" spans="1:6" x14ac:dyDescent="0.25">
      <c r="A1079" t="str">
        <f>"26677601"</f>
        <v>26677601</v>
      </c>
      <c r="B1079" t="s">
        <v>1196</v>
      </c>
      <c r="C1079" t="s">
        <v>7</v>
      </c>
      <c r="D1079" t="str">
        <f t="shared" si="49"/>
        <v>563510</v>
      </c>
      <c r="E1079" t="s">
        <v>1091</v>
      </c>
      <c r="F1079" t="s">
        <v>9</v>
      </c>
    </row>
    <row r="1080" spans="1:6" x14ac:dyDescent="0.25">
      <c r="A1080" t="str">
        <f>"26608065"</f>
        <v>26608065</v>
      </c>
      <c r="B1080" t="s">
        <v>1197</v>
      </c>
      <c r="C1080" t="s">
        <v>7</v>
      </c>
      <c r="D1080" t="str">
        <f t="shared" si="49"/>
        <v>563510</v>
      </c>
      <c r="E1080" t="s">
        <v>1091</v>
      </c>
      <c r="F1080" t="s">
        <v>9</v>
      </c>
    </row>
    <row r="1081" spans="1:6" x14ac:dyDescent="0.25">
      <c r="A1081" t="str">
        <f>"01567926"</f>
        <v>01567926</v>
      </c>
      <c r="B1081" t="s">
        <v>1198</v>
      </c>
      <c r="C1081" t="s">
        <v>7</v>
      </c>
      <c r="D1081" t="str">
        <f t="shared" si="49"/>
        <v>563510</v>
      </c>
      <c r="E1081" t="s">
        <v>1091</v>
      </c>
      <c r="F1081" t="s">
        <v>35</v>
      </c>
    </row>
    <row r="1082" spans="1:6" x14ac:dyDescent="0.25">
      <c r="A1082" t="str">
        <f>"68455445"</f>
        <v>68455445</v>
      </c>
      <c r="B1082" t="s">
        <v>1199</v>
      </c>
      <c r="C1082" t="s">
        <v>7</v>
      </c>
      <c r="D1082" t="str">
        <f t="shared" si="49"/>
        <v>563510</v>
      </c>
      <c r="E1082" t="s">
        <v>1091</v>
      </c>
      <c r="F1082" t="s">
        <v>35</v>
      </c>
    </row>
    <row r="1083" spans="1:6" x14ac:dyDescent="0.25">
      <c r="A1083" t="str">
        <f>"60253967"</f>
        <v>60253967</v>
      </c>
      <c r="B1083" t="s">
        <v>1200</v>
      </c>
      <c r="C1083" t="s">
        <v>7</v>
      </c>
      <c r="D1083" t="str">
        <f t="shared" si="49"/>
        <v>563510</v>
      </c>
      <c r="E1083" t="s">
        <v>1091</v>
      </c>
      <c r="F1083" t="s">
        <v>9</v>
      </c>
    </row>
    <row r="1084" spans="1:6" x14ac:dyDescent="0.25">
      <c r="A1084" t="str">
        <f>"26613328"</f>
        <v>26613328</v>
      </c>
      <c r="B1084" t="s">
        <v>1201</v>
      </c>
      <c r="C1084" t="s">
        <v>7</v>
      </c>
      <c r="D1084" t="str">
        <f t="shared" si="49"/>
        <v>563510</v>
      </c>
      <c r="E1084" t="s">
        <v>1091</v>
      </c>
      <c r="F1084" t="s">
        <v>11</v>
      </c>
    </row>
    <row r="1085" spans="1:6" x14ac:dyDescent="0.25">
      <c r="A1085" t="str">
        <f>"60254319"</f>
        <v>60254319</v>
      </c>
      <c r="B1085" t="s">
        <v>1202</v>
      </c>
      <c r="C1085" t="s">
        <v>7</v>
      </c>
      <c r="D1085" t="str">
        <f t="shared" si="49"/>
        <v>563510</v>
      </c>
      <c r="E1085" t="s">
        <v>1091</v>
      </c>
      <c r="F1085" t="s">
        <v>11</v>
      </c>
    </row>
    <row r="1086" spans="1:6" x14ac:dyDescent="0.25">
      <c r="A1086" t="str">
        <f>"64668746"</f>
        <v>64668746</v>
      </c>
      <c r="B1086" t="s">
        <v>1203</v>
      </c>
      <c r="C1086" t="s">
        <v>7</v>
      </c>
      <c r="D1086" t="str">
        <f t="shared" si="49"/>
        <v>563510</v>
      </c>
      <c r="E1086" t="s">
        <v>1091</v>
      </c>
      <c r="F1086" t="s">
        <v>11</v>
      </c>
    </row>
    <row r="1087" spans="1:6" x14ac:dyDescent="0.25">
      <c r="A1087" t="str">
        <f>"70840105"</f>
        <v>70840105</v>
      </c>
      <c r="B1087" t="s">
        <v>1204</v>
      </c>
      <c r="C1087" t="s">
        <v>7</v>
      </c>
      <c r="D1087" t="str">
        <f t="shared" si="49"/>
        <v>563510</v>
      </c>
      <c r="E1087" t="s">
        <v>1091</v>
      </c>
      <c r="F1087" t="s">
        <v>9</v>
      </c>
    </row>
    <row r="1088" spans="1:6" x14ac:dyDescent="0.25">
      <c r="A1088" t="str">
        <f>"28554302"</f>
        <v>28554302</v>
      </c>
      <c r="B1088" t="s">
        <v>1205</v>
      </c>
      <c r="C1088" t="s">
        <v>7</v>
      </c>
      <c r="D1088" t="str">
        <f t="shared" si="49"/>
        <v>563510</v>
      </c>
      <c r="E1088" t="s">
        <v>1091</v>
      </c>
      <c r="F1088" t="s">
        <v>9</v>
      </c>
    </row>
    <row r="1089" spans="1:6" x14ac:dyDescent="0.25">
      <c r="A1089" t="str">
        <f>"22829024"</f>
        <v>22829024</v>
      </c>
      <c r="B1089" t="s">
        <v>1206</v>
      </c>
      <c r="C1089" t="s">
        <v>7</v>
      </c>
      <c r="D1089" t="str">
        <f t="shared" si="49"/>
        <v>563510</v>
      </c>
      <c r="E1089" t="s">
        <v>1091</v>
      </c>
      <c r="F1089" t="s">
        <v>11</v>
      </c>
    </row>
    <row r="1090" spans="1:6" x14ac:dyDescent="0.25">
      <c r="A1090" t="str">
        <f>"60254441"</f>
        <v>60254441</v>
      </c>
      <c r="B1090" t="s">
        <v>1207</v>
      </c>
      <c r="C1090" t="s">
        <v>7</v>
      </c>
      <c r="D1090" t="str">
        <f t="shared" si="49"/>
        <v>563510</v>
      </c>
      <c r="E1090" t="s">
        <v>1091</v>
      </c>
      <c r="F1090" t="s">
        <v>381</v>
      </c>
    </row>
    <row r="1091" spans="1:6" x14ac:dyDescent="0.25">
      <c r="A1091" t="str">
        <f>"07068816"</f>
        <v>07068816</v>
      </c>
      <c r="B1091" t="s">
        <v>1208</v>
      </c>
      <c r="C1091" t="s">
        <v>7</v>
      </c>
      <c r="D1091" t="str">
        <f t="shared" si="49"/>
        <v>563510</v>
      </c>
      <c r="E1091" t="s">
        <v>1091</v>
      </c>
      <c r="F1091" t="s">
        <v>11</v>
      </c>
    </row>
    <row r="1092" spans="1:6" x14ac:dyDescent="0.25">
      <c r="A1092" t="str">
        <f>"26574161"</f>
        <v>26574161</v>
      </c>
      <c r="B1092" t="s">
        <v>1209</v>
      </c>
      <c r="C1092" t="s">
        <v>7</v>
      </c>
      <c r="D1092" t="str">
        <f t="shared" si="49"/>
        <v>563510</v>
      </c>
      <c r="E1092" t="s">
        <v>1091</v>
      </c>
      <c r="F1092" t="s">
        <v>62</v>
      </c>
    </row>
    <row r="1093" spans="1:6" x14ac:dyDescent="0.25">
      <c r="A1093" t="str">
        <f>"27011208"</f>
        <v>27011208</v>
      </c>
      <c r="B1093" t="s">
        <v>1210</v>
      </c>
      <c r="C1093" t="s">
        <v>7</v>
      </c>
      <c r="D1093" t="str">
        <f t="shared" si="49"/>
        <v>563510</v>
      </c>
      <c r="E1093" t="s">
        <v>1091</v>
      </c>
      <c r="F1093" t="s">
        <v>9</v>
      </c>
    </row>
    <row r="1094" spans="1:6" x14ac:dyDescent="0.25">
      <c r="A1094" t="str">
        <f>"08795541"</f>
        <v>08795541</v>
      </c>
      <c r="B1094" t="s">
        <v>1211</v>
      </c>
      <c r="C1094" t="s">
        <v>7</v>
      </c>
      <c r="D1094" t="str">
        <f t="shared" si="49"/>
        <v>563510</v>
      </c>
      <c r="E1094" t="s">
        <v>1091</v>
      </c>
      <c r="F1094" t="s">
        <v>62</v>
      </c>
    </row>
    <row r="1095" spans="1:6" x14ac:dyDescent="0.25">
      <c r="A1095" t="str">
        <f>"09285733"</f>
        <v>09285733</v>
      </c>
      <c r="B1095" t="s">
        <v>1212</v>
      </c>
      <c r="C1095" t="s">
        <v>7</v>
      </c>
      <c r="D1095" t="str">
        <f t="shared" si="49"/>
        <v>563510</v>
      </c>
      <c r="E1095" t="s">
        <v>1091</v>
      </c>
      <c r="F1095" t="s">
        <v>35</v>
      </c>
    </row>
    <row r="1096" spans="1:6" x14ac:dyDescent="0.25">
      <c r="A1096" t="str">
        <f>"22721312"</f>
        <v>22721312</v>
      </c>
      <c r="B1096" t="s">
        <v>1213</v>
      </c>
      <c r="C1096" t="s">
        <v>7</v>
      </c>
      <c r="D1096" t="str">
        <f t="shared" si="49"/>
        <v>563510</v>
      </c>
      <c r="E1096" t="s">
        <v>1091</v>
      </c>
      <c r="F1096" t="s">
        <v>11</v>
      </c>
    </row>
    <row r="1097" spans="1:6" x14ac:dyDescent="0.25">
      <c r="A1097" t="str">
        <f>"22609695"</f>
        <v>22609695</v>
      </c>
      <c r="B1097" t="s">
        <v>1214</v>
      </c>
      <c r="C1097" t="s">
        <v>7</v>
      </c>
      <c r="D1097" t="str">
        <f t="shared" si="49"/>
        <v>563510</v>
      </c>
      <c r="E1097" t="s">
        <v>1091</v>
      </c>
      <c r="F1097" t="s">
        <v>11</v>
      </c>
    </row>
    <row r="1098" spans="1:6" x14ac:dyDescent="0.25">
      <c r="A1098" t="str">
        <f>"19484364"</f>
        <v>19484364</v>
      </c>
      <c r="B1098" t="s">
        <v>1215</v>
      </c>
      <c r="C1098" t="s">
        <v>7</v>
      </c>
      <c r="D1098" t="str">
        <f t="shared" si="49"/>
        <v>563510</v>
      </c>
      <c r="E1098" t="s">
        <v>1091</v>
      </c>
      <c r="F1098" t="s">
        <v>13</v>
      </c>
    </row>
    <row r="1099" spans="1:6" x14ac:dyDescent="0.25">
      <c r="A1099" t="str">
        <f>"08909059"</f>
        <v>08909059</v>
      </c>
      <c r="B1099" t="s">
        <v>1216</v>
      </c>
      <c r="C1099" t="s">
        <v>7</v>
      </c>
      <c r="D1099" t="str">
        <f t="shared" si="49"/>
        <v>563510</v>
      </c>
      <c r="E1099" t="s">
        <v>1091</v>
      </c>
      <c r="F1099" t="s">
        <v>11</v>
      </c>
    </row>
    <row r="1100" spans="1:6" x14ac:dyDescent="0.25">
      <c r="A1100" t="str">
        <f>"26589397"</f>
        <v>26589397</v>
      </c>
      <c r="B1100" t="s">
        <v>1217</v>
      </c>
      <c r="C1100" t="s">
        <v>7</v>
      </c>
      <c r="D1100" t="str">
        <f t="shared" si="49"/>
        <v>563510</v>
      </c>
      <c r="E1100" t="s">
        <v>1091</v>
      </c>
      <c r="F1100" t="s">
        <v>11</v>
      </c>
    </row>
    <row r="1101" spans="1:6" x14ac:dyDescent="0.25">
      <c r="A1101" t="str">
        <f>"01953419"</f>
        <v>01953419</v>
      </c>
      <c r="B1101" t="s">
        <v>1218</v>
      </c>
      <c r="C1101" t="s">
        <v>7</v>
      </c>
      <c r="D1101" t="str">
        <f t="shared" si="49"/>
        <v>563510</v>
      </c>
      <c r="E1101" t="s">
        <v>1091</v>
      </c>
      <c r="F1101" t="s">
        <v>11</v>
      </c>
    </row>
    <row r="1102" spans="1:6" x14ac:dyDescent="0.25">
      <c r="A1102" t="str">
        <f>"71240241"</f>
        <v>71240241</v>
      </c>
      <c r="B1102" t="s">
        <v>1219</v>
      </c>
      <c r="C1102" t="s">
        <v>15</v>
      </c>
      <c r="D1102" t="str">
        <f t="shared" si="49"/>
        <v>563510</v>
      </c>
      <c r="E1102" t="s">
        <v>1091</v>
      </c>
      <c r="F1102" t="s">
        <v>11</v>
      </c>
    </row>
    <row r="1103" spans="1:6" x14ac:dyDescent="0.25">
      <c r="A1103" t="str">
        <f>"08358061"</f>
        <v>08358061</v>
      </c>
      <c r="B1103" t="s">
        <v>1220</v>
      </c>
      <c r="C1103" t="s">
        <v>7</v>
      </c>
      <c r="D1103" t="str">
        <f t="shared" si="49"/>
        <v>563510</v>
      </c>
      <c r="E1103" t="s">
        <v>1091</v>
      </c>
      <c r="F1103" t="s">
        <v>11</v>
      </c>
    </row>
    <row r="1104" spans="1:6" x14ac:dyDescent="0.25">
      <c r="A1104" t="str">
        <f>"02928345"</f>
        <v>02928345</v>
      </c>
      <c r="B1104" t="s">
        <v>1221</v>
      </c>
      <c r="C1104" t="s">
        <v>7</v>
      </c>
      <c r="D1104" t="str">
        <f t="shared" si="49"/>
        <v>563510</v>
      </c>
      <c r="E1104" t="s">
        <v>1091</v>
      </c>
      <c r="F1104" t="s">
        <v>11</v>
      </c>
    </row>
    <row r="1105" spans="1:6" x14ac:dyDescent="0.25">
      <c r="A1105" t="str">
        <f>"01596659"</f>
        <v>01596659</v>
      </c>
      <c r="B1105" t="s">
        <v>1222</v>
      </c>
      <c r="C1105" t="s">
        <v>7</v>
      </c>
      <c r="D1105" t="str">
        <f t="shared" si="49"/>
        <v>563510</v>
      </c>
      <c r="E1105" t="s">
        <v>1091</v>
      </c>
      <c r="F1105" t="s">
        <v>11</v>
      </c>
    </row>
    <row r="1106" spans="1:6" x14ac:dyDescent="0.25">
      <c r="A1106" t="str">
        <f>"70806284"</f>
        <v>70806284</v>
      </c>
      <c r="B1106" t="s">
        <v>1223</v>
      </c>
      <c r="C1106" t="s">
        <v>7</v>
      </c>
      <c r="D1106" t="str">
        <f t="shared" ref="D1106:D1169" si="50">"563510"</f>
        <v>563510</v>
      </c>
      <c r="E1106" t="s">
        <v>1091</v>
      </c>
      <c r="F1106" t="s">
        <v>65</v>
      </c>
    </row>
    <row r="1107" spans="1:6" x14ac:dyDescent="0.25">
      <c r="A1107" t="str">
        <f>"02181622"</f>
        <v>02181622</v>
      </c>
      <c r="B1107" t="s">
        <v>1224</v>
      </c>
      <c r="C1107" t="s">
        <v>7</v>
      </c>
      <c r="D1107" t="str">
        <f t="shared" si="50"/>
        <v>563510</v>
      </c>
      <c r="E1107" t="s">
        <v>1091</v>
      </c>
      <c r="F1107" t="s">
        <v>35</v>
      </c>
    </row>
    <row r="1108" spans="1:6" x14ac:dyDescent="0.25">
      <c r="A1108" t="str">
        <f>"68429169"</f>
        <v>68429169</v>
      </c>
      <c r="B1108" t="s">
        <v>1225</v>
      </c>
      <c r="C1108" t="s">
        <v>7</v>
      </c>
      <c r="D1108" t="str">
        <f t="shared" si="50"/>
        <v>563510</v>
      </c>
      <c r="E1108" t="s">
        <v>1091</v>
      </c>
      <c r="F1108" t="s">
        <v>9</v>
      </c>
    </row>
    <row r="1109" spans="1:6" x14ac:dyDescent="0.25">
      <c r="A1109" t="str">
        <f>"26536412"</f>
        <v>26536412</v>
      </c>
      <c r="B1109" t="s">
        <v>1226</v>
      </c>
      <c r="C1109" t="s">
        <v>7</v>
      </c>
      <c r="D1109" t="str">
        <f t="shared" si="50"/>
        <v>563510</v>
      </c>
      <c r="E1109" t="s">
        <v>1091</v>
      </c>
      <c r="F1109" t="s">
        <v>11</v>
      </c>
    </row>
    <row r="1110" spans="1:6" x14ac:dyDescent="0.25">
      <c r="A1110" t="str">
        <f>"19893361"</f>
        <v>19893361</v>
      </c>
      <c r="B1110" t="s">
        <v>1227</v>
      </c>
      <c r="C1110" t="s">
        <v>7</v>
      </c>
      <c r="D1110" t="str">
        <f t="shared" si="50"/>
        <v>563510</v>
      </c>
      <c r="E1110" t="s">
        <v>1091</v>
      </c>
      <c r="F1110" t="s">
        <v>62</v>
      </c>
    </row>
    <row r="1111" spans="1:6" x14ac:dyDescent="0.25">
      <c r="A1111" t="str">
        <f>"43256571"</f>
        <v>43256571</v>
      </c>
      <c r="B1111" t="s">
        <v>1228</v>
      </c>
      <c r="C1111" t="s">
        <v>37</v>
      </c>
      <c r="D1111" t="str">
        <f t="shared" si="50"/>
        <v>563510</v>
      </c>
      <c r="E1111" t="s">
        <v>1091</v>
      </c>
      <c r="F1111" t="s">
        <v>38</v>
      </c>
    </row>
    <row r="1112" spans="1:6" x14ac:dyDescent="0.25">
      <c r="A1112" t="str">
        <f>"19823312"</f>
        <v>19823312</v>
      </c>
      <c r="B1112" t="s">
        <v>1229</v>
      </c>
      <c r="C1112" t="s">
        <v>7</v>
      </c>
      <c r="D1112" t="str">
        <f t="shared" si="50"/>
        <v>563510</v>
      </c>
      <c r="E1112" t="s">
        <v>1091</v>
      </c>
      <c r="F1112" t="s">
        <v>11</v>
      </c>
    </row>
    <row r="1113" spans="1:6" x14ac:dyDescent="0.25">
      <c r="A1113" t="str">
        <f>"22901451"</f>
        <v>22901451</v>
      </c>
      <c r="B1113" t="s">
        <v>1230</v>
      </c>
      <c r="C1113" t="s">
        <v>7</v>
      </c>
      <c r="D1113" t="str">
        <f t="shared" si="50"/>
        <v>563510</v>
      </c>
      <c r="E1113" t="s">
        <v>1091</v>
      </c>
      <c r="F1113" t="s">
        <v>389</v>
      </c>
    </row>
    <row r="1114" spans="1:6" x14ac:dyDescent="0.25">
      <c r="A1114" t="str">
        <f>"22815180"</f>
        <v>22815180</v>
      </c>
      <c r="B1114" t="s">
        <v>1231</v>
      </c>
      <c r="C1114" t="s">
        <v>7</v>
      </c>
      <c r="D1114" t="str">
        <f t="shared" si="50"/>
        <v>563510</v>
      </c>
      <c r="E1114" t="s">
        <v>1091</v>
      </c>
      <c r="F1114" t="s">
        <v>29</v>
      </c>
    </row>
    <row r="1115" spans="1:6" x14ac:dyDescent="0.25">
      <c r="A1115" t="str">
        <f>"27035301"</f>
        <v>27035301</v>
      </c>
      <c r="B1115" t="s">
        <v>1232</v>
      </c>
      <c r="C1115" t="s">
        <v>7</v>
      </c>
      <c r="D1115" t="str">
        <f t="shared" si="50"/>
        <v>563510</v>
      </c>
      <c r="E1115" t="s">
        <v>1091</v>
      </c>
      <c r="F1115" t="s">
        <v>9</v>
      </c>
    </row>
    <row r="1116" spans="1:6" x14ac:dyDescent="0.25">
      <c r="A1116" t="str">
        <f>"19407602"</f>
        <v>19407602</v>
      </c>
      <c r="B1116" t="s">
        <v>1233</v>
      </c>
      <c r="C1116" t="s">
        <v>27</v>
      </c>
      <c r="D1116" t="str">
        <f t="shared" si="50"/>
        <v>563510</v>
      </c>
      <c r="E1116" t="s">
        <v>1091</v>
      </c>
      <c r="F1116" t="s">
        <v>40</v>
      </c>
    </row>
    <row r="1117" spans="1:6" x14ac:dyDescent="0.25">
      <c r="A1117" t="str">
        <f>"08330751"</f>
        <v>08330751</v>
      </c>
      <c r="B1117" t="s">
        <v>1234</v>
      </c>
      <c r="C1117" t="s">
        <v>7</v>
      </c>
      <c r="D1117" t="str">
        <f t="shared" si="50"/>
        <v>563510</v>
      </c>
      <c r="E1117" t="s">
        <v>1091</v>
      </c>
      <c r="F1117" t="s">
        <v>139</v>
      </c>
    </row>
    <row r="1118" spans="1:6" x14ac:dyDescent="0.25">
      <c r="A1118" t="str">
        <f>"07870825"</f>
        <v>07870825</v>
      </c>
      <c r="B1118" t="s">
        <v>1235</v>
      </c>
      <c r="C1118" t="s">
        <v>7</v>
      </c>
      <c r="D1118" t="str">
        <f t="shared" si="50"/>
        <v>563510</v>
      </c>
      <c r="E1118" t="s">
        <v>1091</v>
      </c>
      <c r="F1118" t="s">
        <v>62</v>
      </c>
    </row>
    <row r="1119" spans="1:6" x14ac:dyDescent="0.25">
      <c r="A1119" t="str">
        <f>"08800588"</f>
        <v>08800588</v>
      </c>
      <c r="B1119" t="s">
        <v>1236</v>
      </c>
      <c r="C1119" t="s">
        <v>7</v>
      </c>
      <c r="D1119" t="str">
        <f t="shared" si="50"/>
        <v>563510</v>
      </c>
      <c r="E1119" t="s">
        <v>1091</v>
      </c>
      <c r="F1119" t="s">
        <v>13</v>
      </c>
    </row>
    <row r="1120" spans="1:6" x14ac:dyDescent="0.25">
      <c r="A1120" t="str">
        <f>"27012409"</f>
        <v>27012409</v>
      </c>
      <c r="B1120" t="s">
        <v>1237</v>
      </c>
      <c r="C1120" t="s">
        <v>7</v>
      </c>
      <c r="D1120" t="str">
        <f t="shared" si="50"/>
        <v>563510</v>
      </c>
      <c r="E1120" t="s">
        <v>1091</v>
      </c>
      <c r="F1120" t="s">
        <v>9</v>
      </c>
    </row>
    <row r="1121" spans="1:6" x14ac:dyDescent="0.25">
      <c r="A1121" t="str">
        <f>"22722424"</f>
        <v>22722424</v>
      </c>
      <c r="B1121" t="s">
        <v>1238</v>
      </c>
      <c r="C1121" t="s">
        <v>7</v>
      </c>
      <c r="D1121" t="str">
        <f t="shared" si="50"/>
        <v>563510</v>
      </c>
      <c r="E1121" t="s">
        <v>1091</v>
      </c>
      <c r="F1121" t="s">
        <v>328</v>
      </c>
    </row>
    <row r="1122" spans="1:6" x14ac:dyDescent="0.25">
      <c r="A1122" t="str">
        <f>"27050432"</f>
        <v>27050432</v>
      </c>
      <c r="B1122" t="s">
        <v>1239</v>
      </c>
      <c r="C1122" t="s">
        <v>7</v>
      </c>
      <c r="D1122" t="str">
        <f t="shared" si="50"/>
        <v>563510</v>
      </c>
      <c r="E1122" t="s">
        <v>1091</v>
      </c>
      <c r="F1122" t="s">
        <v>424</v>
      </c>
    </row>
    <row r="1123" spans="1:6" x14ac:dyDescent="0.25">
      <c r="A1123" t="str">
        <f>"68974663"</f>
        <v>68974663</v>
      </c>
      <c r="B1123" t="s">
        <v>1240</v>
      </c>
      <c r="C1123" t="s">
        <v>7</v>
      </c>
      <c r="D1123" t="str">
        <f t="shared" si="50"/>
        <v>563510</v>
      </c>
      <c r="E1123" t="s">
        <v>1091</v>
      </c>
      <c r="F1123" t="s">
        <v>11</v>
      </c>
    </row>
    <row r="1124" spans="1:6" x14ac:dyDescent="0.25">
      <c r="A1124" t="str">
        <f>"04517008"</f>
        <v>04517008</v>
      </c>
      <c r="B1124" t="s">
        <v>1241</v>
      </c>
      <c r="C1124" t="s">
        <v>7</v>
      </c>
      <c r="D1124" t="str">
        <f t="shared" si="50"/>
        <v>563510</v>
      </c>
      <c r="E1124" t="s">
        <v>1091</v>
      </c>
      <c r="F1124" t="s">
        <v>13</v>
      </c>
    </row>
    <row r="1125" spans="1:6" x14ac:dyDescent="0.25">
      <c r="A1125" t="str">
        <f>"02687526"</f>
        <v>02687526</v>
      </c>
      <c r="B1125" t="s">
        <v>1242</v>
      </c>
      <c r="C1125" t="s">
        <v>7</v>
      </c>
      <c r="D1125" t="str">
        <f t="shared" si="50"/>
        <v>563510</v>
      </c>
      <c r="E1125" t="s">
        <v>1091</v>
      </c>
      <c r="F1125" t="s">
        <v>11</v>
      </c>
    </row>
    <row r="1126" spans="1:6" x14ac:dyDescent="0.25">
      <c r="A1126" t="str">
        <f>"08641021"</f>
        <v>08641021</v>
      </c>
      <c r="B1126" t="s">
        <v>1243</v>
      </c>
      <c r="C1126" t="s">
        <v>27</v>
      </c>
      <c r="D1126" t="str">
        <f t="shared" si="50"/>
        <v>563510</v>
      </c>
      <c r="E1126" t="s">
        <v>1091</v>
      </c>
      <c r="F1126" t="s">
        <v>11</v>
      </c>
    </row>
    <row r="1127" spans="1:6" x14ac:dyDescent="0.25">
      <c r="A1127" t="str">
        <f>"28557280"</f>
        <v>28557280</v>
      </c>
      <c r="B1127" t="s">
        <v>1244</v>
      </c>
      <c r="C1127" t="s">
        <v>7</v>
      </c>
      <c r="D1127" t="str">
        <f t="shared" si="50"/>
        <v>563510</v>
      </c>
      <c r="E1127" t="s">
        <v>1091</v>
      </c>
      <c r="F1127" t="s">
        <v>11</v>
      </c>
    </row>
    <row r="1128" spans="1:6" x14ac:dyDescent="0.25">
      <c r="A1128" t="str">
        <f>"16389875"</f>
        <v>16389875</v>
      </c>
      <c r="B1128" t="s">
        <v>1245</v>
      </c>
      <c r="C1128" t="s">
        <v>7</v>
      </c>
      <c r="D1128" t="str">
        <f t="shared" si="50"/>
        <v>563510</v>
      </c>
      <c r="E1128" t="s">
        <v>1091</v>
      </c>
      <c r="F1128" t="s">
        <v>139</v>
      </c>
    </row>
    <row r="1129" spans="1:6" x14ac:dyDescent="0.25">
      <c r="A1129" t="str">
        <f>"69388253"</f>
        <v>69388253</v>
      </c>
      <c r="B1129" t="s">
        <v>1246</v>
      </c>
      <c r="C1129" t="s">
        <v>7</v>
      </c>
      <c r="D1129" t="str">
        <f t="shared" si="50"/>
        <v>563510</v>
      </c>
      <c r="E1129" t="s">
        <v>1091</v>
      </c>
      <c r="F1129" t="s">
        <v>379</v>
      </c>
    </row>
    <row r="1130" spans="1:6" x14ac:dyDescent="0.25">
      <c r="A1130" t="str">
        <f>"09686177"</f>
        <v>09686177</v>
      </c>
      <c r="B1130" t="s">
        <v>1247</v>
      </c>
      <c r="C1130" t="s">
        <v>7</v>
      </c>
      <c r="D1130" t="str">
        <f t="shared" si="50"/>
        <v>563510</v>
      </c>
      <c r="E1130" t="s">
        <v>1091</v>
      </c>
      <c r="F1130" t="s">
        <v>11</v>
      </c>
    </row>
    <row r="1131" spans="1:6" x14ac:dyDescent="0.25">
      <c r="A1131" t="str">
        <f>"22770399"</f>
        <v>22770399</v>
      </c>
      <c r="B1131" t="s">
        <v>1248</v>
      </c>
      <c r="C1131" t="s">
        <v>7</v>
      </c>
      <c r="D1131" t="str">
        <f t="shared" si="50"/>
        <v>563510</v>
      </c>
      <c r="E1131" t="s">
        <v>1091</v>
      </c>
      <c r="F1131" t="s">
        <v>11</v>
      </c>
    </row>
    <row r="1132" spans="1:6" x14ac:dyDescent="0.25">
      <c r="A1132" t="str">
        <f>"26545501"</f>
        <v>26545501</v>
      </c>
      <c r="B1132" t="s">
        <v>1249</v>
      </c>
      <c r="C1132" t="s">
        <v>7</v>
      </c>
      <c r="D1132" t="str">
        <f t="shared" si="50"/>
        <v>563510</v>
      </c>
      <c r="E1132" t="s">
        <v>1091</v>
      </c>
      <c r="F1132" t="s">
        <v>11</v>
      </c>
    </row>
    <row r="1133" spans="1:6" x14ac:dyDescent="0.25">
      <c r="A1133" t="str">
        <f>"08942994"</f>
        <v>08942994</v>
      </c>
      <c r="B1133" t="s">
        <v>1250</v>
      </c>
      <c r="C1133" t="s">
        <v>20</v>
      </c>
      <c r="D1133" t="str">
        <f t="shared" si="50"/>
        <v>563510</v>
      </c>
      <c r="E1133" t="s">
        <v>1091</v>
      </c>
      <c r="F1133" t="s">
        <v>21</v>
      </c>
    </row>
    <row r="1134" spans="1:6" x14ac:dyDescent="0.25">
      <c r="A1134" t="str">
        <f>"22719342"</f>
        <v>22719342</v>
      </c>
      <c r="B1134" t="s">
        <v>1251</v>
      </c>
      <c r="C1134" t="s">
        <v>7</v>
      </c>
      <c r="D1134" t="str">
        <f t="shared" si="50"/>
        <v>563510</v>
      </c>
      <c r="E1134" t="s">
        <v>1091</v>
      </c>
      <c r="F1134" t="s">
        <v>18</v>
      </c>
    </row>
    <row r="1135" spans="1:6" x14ac:dyDescent="0.25">
      <c r="A1135" t="str">
        <f>"26551926"</f>
        <v>26551926</v>
      </c>
      <c r="B1135" t="s">
        <v>1252</v>
      </c>
      <c r="C1135" t="s">
        <v>7</v>
      </c>
      <c r="D1135" t="str">
        <f t="shared" si="50"/>
        <v>563510</v>
      </c>
      <c r="E1135" t="s">
        <v>1091</v>
      </c>
      <c r="F1135" t="s">
        <v>9</v>
      </c>
    </row>
    <row r="1136" spans="1:6" x14ac:dyDescent="0.25">
      <c r="A1136" t="str">
        <f>"02761726"</f>
        <v>02761726</v>
      </c>
      <c r="B1136" t="s">
        <v>1253</v>
      </c>
      <c r="C1136" t="s">
        <v>7</v>
      </c>
      <c r="D1136" t="str">
        <f t="shared" si="50"/>
        <v>563510</v>
      </c>
      <c r="E1136" t="s">
        <v>1091</v>
      </c>
      <c r="F1136" t="s">
        <v>11</v>
      </c>
    </row>
    <row r="1137" spans="1:6" x14ac:dyDescent="0.25">
      <c r="A1137" t="str">
        <f>"63155401"</f>
        <v>63155401</v>
      </c>
      <c r="B1137" t="s">
        <v>1254</v>
      </c>
      <c r="C1137" t="s">
        <v>7</v>
      </c>
      <c r="D1137" t="str">
        <f t="shared" si="50"/>
        <v>563510</v>
      </c>
      <c r="E1137" t="s">
        <v>1091</v>
      </c>
      <c r="F1137" t="s">
        <v>11</v>
      </c>
    </row>
    <row r="1138" spans="1:6" x14ac:dyDescent="0.25">
      <c r="A1138" t="str">
        <f>"64669416"</f>
        <v>64669416</v>
      </c>
      <c r="B1138" t="s">
        <v>1255</v>
      </c>
      <c r="C1138" t="s">
        <v>7</v>
      </c>
      <c r="D1138" t="str">
        <f t="shared" si="50"/>
        <v>563510</v>
      </c>
      <c r="E1138" t="s">
        <v>1091</v>
      </c>
      <c r="F1138" t="s">
        <v>11</v>
      </c>
    </row>
    <row r="1139" spans="1:6" x14ac:dyDescent="0.25">
      <c r="A1139" t="str">
        <f>"43256911"</f>
        <v>43256911</v>
      </c>
      <c r="B1139" t="s">
        <v>1256</v>
      </c>
      <c r="C1139" t="s">
        <v>7</v>
      </c>
      <c r="D1139" t="str">
        <f t="shared" si="50"/>
        <v>563510</v>
      </c>
      <c r="E1139" t="s">
        <v>1091</v>
      </c>
      <c r="F1139" t="s">
        <v>137</v>
      </c>
    </row>
    <row r="1140" spans="1:6" x14ac:dyDescent="0.25">
      <c r="A1140" t="str">
        <f>"01798073"</f>
        <v>01798073</v>
      </c>
      <c r="B1140" t="s">
        <v>1257</v>
      </c>
      <c r="C1140" t="s">
        <v>7</v>
      </c>
      <c r="D1140" t="str">
        <f t="shared" si="50"/>
        <v>563510</v>
      </c>
      <c r="E1140" t="s">
        <v>1091</v>
      </c>
      <c r="F1140" t="s">
        <v>11</v>
      </c>
    </row>
    <row r="1141" spans="1:6" x14ac:dyDescent="0.25">
      <c r="A1141" t="str">
        <f>"26677831"</f>
        <v>26677831</v>
      </c>
      <c r="B1141" t="s">
        <v>1258</v>
      </c>
      <c r="C1141" t="s">
        <v>7</v>
      </c>
      <c r="D1141" t="str">
        <f t="shared" si="50"/>
        <v>563510</v>
      </c>
      <c r="E1141" t="s">
        <v>1091</v>
      </c>
      <c r="F1141" t="s">
        <v>11</v>
      </c>
    </row>
    <row r="1142" spans="1:6" x14ac:dyDescent="0.25">
      <c r="A1142" t="str">
        <f>"60254505"</f>
        <v>60254505</v>
      </c>
      <c r="B1142" t="s">
        <v>1259</v>
      </c>
      <c r="C1142" t="s">
        <v>7</v>
      </c>
      <c r="D1142" t="str">
        <f t="shared" si="50"/>
        <v>563510</v>
      </c>
      <c r="E1142" t="s">
        <v>1091</v>
      </c>
      <c r="F1142" t="s">
        <v>381</v>
      </c>
    </row>
    <row r="1143" spans="1:6" x14ac:dyDescent="0.25">
      <c r="A1143" t="str">
        <f>"22834435"</f>
        <v>22834435</v>
      </c>
      <c r="B1143" t="s">
        <v>1260</v>
      </c>
      <c r="C1143" t="s">
        <v>7</v>
      </c>
      <c r="D1143" t="str">
        <f t="shared" si="50"/>
        <v>563510</v>
      </c>
      <c r="E1143" t="s">
        <v>1091</v>
      </c>
      <c r="F1143" t="s">
        <v>62</v>
      </c>
    </row>
    <row r="1144" spans="1:6" x14ac:dyDescent="0.25">
      <c r="A1144" t="str">
        <f>"10775421"</f>
        <v>10775421</v>
      </c>
      <c r="B1144" t="s">
        <v>1261</v>
      </c>
      <c r="C1144" t="s">
        <v>7</v>
      </c>
      <c r="D1144" t="str">
        <f t="shared" si="50"/>
        <v>563510</v>
      </c>
      <c r="E1144" t="s">
        <v>1091</v>
      </c>
      <c r="F1144" t="s">
        <v>62</v>
      </c>
    </row>
    <row r="1145" spans="1:6" x14ac:dyDescent="0.25">
      <c r="A1145" t="str">
        <f>"22613242"</f>
        <v>22613242</v>
      </c>
      <c r="B1145" t="s">
        <v>1262</v>
      </c>
      <c r="C1145" t="s">
        <v>7</v>
      </c>
      <c r="D1145" t="str">
        <f t="shared" si="50"/>
        <v>563510</v>
      </c>
      <c r="E1145" t="s">
        <v>1091</v>
      </c>
      <c r="F1145" t="s">
        <v>1096</v>
      </c>
    </row>
    <row r="1146" spans="1:6" x14ac:dyDescent="0.25">
      <c r="A1146" t="str">
        <f>"03190307"</f>
        <v>03190307</v>
      </c>
      <c r="B1146" t="s">
        <v>1263</v>
      </c>
      <c r="C1146" t="s">
        <v>7</v>
      </c>
      <c r="D1146" t="str">
        <f t="shared" si="50"/>
        <v>563510</v>
      </c>
      <c r="E1146" t="s">
        <v>1091</v>
      </c>
      <c r="F1146" t="s">
        <v>62</v>
      </c>
    </row>
    <row r="1147" spans="1:6" x14ac:dyDescent="0.25">
      <c r="A1147" t="str">
        <f>"03373851"</f>
        <v>03373851</v>
      </c>
      <c r="B1147" t="s">
        <v>1264</v>
      </c>
      <c r="C1147" t="s">
        <v>7</v>
      </c>
      <c r="D1147" t="str">
        <f t="shared" si="50"/>
        <v>563510</v>
      </c>
      <c r="E1147" t="s">
        <v>1091</v>
      </c>
      <c r="F1147" t="s">
        <v>1096</v>
      </c>
    </row>
    <row r="1148" spans="1:6" x14ac:dyDescent="0.25">
      <c r="A1148" t="str">
        <f>"01565672"</f>
        <v>01565672</v>
      </c>
      <c r="B1148" t="s">
        <v>1265</v>
      </c>
      <c r="C1148" t="s">
        <v>7</v>
      </c>
      <c r="D1148" t="str">
        <f t="shared" si="50"/>
        <v>563510</v>
      </c>
      <c r="E1148" t="s">
        <v>1091</v>
      </c>
      <c r="F1148" t="s">
        <v>11</v>
      </c>
    </row>
    <row r="1149" spans="1:6" x14ac:dyDescent="0.25">
      <c r="A1149" t="str">
        <f>"16389328"</f>
        <v>16389328</v>
      </c>
      <c r="B1149" t="s">
        <v>1266</v>
      </c>
      <c r="C1149" t="s">
        <v>7</v>
      </c>
      <c r="D1149" t="str">
        <f t="shared" si="50"/>
        <v>563510</v>
      </c>
      <c r="E1149" t="s">
        <v>1091</v>
      </c>
      <c r="F1149" t="s">
        <v>11</v>
      </c>
    </row>
    <row r="1150" spans="1:6" x14ac:dyDescent="0.25">
      <c r="A1150" t="str">
        <f>"22815414"</f>
        <v>22815414</v>
      </c>
      <c r="B1150" t="s">
        <v>1267</v>
      </c>
      <c r="C1150" t="s">
        <v>7</v>
      </c>
      <c r="D1150" t="str">
        <f t="shared" si="50"/>
        <v>563510</v>
      </c>
      <c r="E1150" t="s">
        <v>1091</v>
      </c>
      <c r="F1150" t="s">
        <v>62</v>
      </c>
    </row>
    <row r="1151" spans="1:6" x14ac:dyDescent="0.25">
      <c r="A1151" t="str">
        <f>"69092249"</f>
        <v>69092249</v>
      </c>
      <c r="B1151" t="s">
        <v>1268</v>
      </c>
      <c r="C1151" t="s">
        <v>7</v>
      </c>
      <c r="D1151" t="str">
        <f t="shared" si="50"/>
        <v>563510</v>
      </c>
      <c r="E1151" t="s">
        <v>1091</v>
      </c>
      <c r="F1151" t="s">
        <v>11</v>
      </c>
    </row>
    <row r="1152" spans="1:6" x14ac:dyDescent="0.25">
      <c r="A1152" t="str">
        <f>"70896232"</f>
        <v>70896232</v>
      </c>
      <c r="B1152" t="s">
        <v>1269</v>
      </c>
      <c r="C1152" t="s">
        <v>7</v>
      </c>
      <c r="D1152" t="str">
        <f t="shared" si="50"/>
        <v>563510</v>
      </c>
      <c r="E1152" t="s">
        <v>1091</v>
      </c>
      <c r="F1152" t="s">
        <v>35</v>
      </c>
    </row>
    <row r="1153" spans="1:6" x14ac:dyDescent="0.25">
      <c r="A1153" t="str">
        <f>"04095758"</f>
        <v>04095758</v>
      </c>
      <c r="B1153" t="s">
        <v>1270</v>
      </c>
      <c r="C1153" t="s">
        <v>7</v>
      </c>
      <c r="D1153" t="str">
        <f t="shared" si="50"/>
        <v>563510</v>
      </c>
      <c r="E1153" t="s">
        <v>1091</v>
      </c>
      <c r="F1153" t="s">
        <v>35</v>
      </c>
    </row>
    <row r="1154" spans="1:6" x14ac:dyDescent="0.25">
      <c r="A1154" t="str">
        <f>"27012468"</f>
        <v>27012468</v>
      </c>
      <c r="B1154" t="s">
        <v>1271</v>
      </c>
      <c r="C1154" t="s">
        <v>7</v>
      </c>
      <c r="D1154" t="str">
        <f t="shared" si="50"/>
        <v>563510</v>
      </c>
      <c r="E1154" t="s">
        <v>1091</v>
      </c>
      <c r="F1154" t="s">
        <v>9</v>
      </c>
    </row>
    <row r="1155" spans="1:6" x14ac:dyDescent="0.25">
      <c r="A1155" t="str">
        <f>"22900527"</f>
        <v>22900527</v>
      </c>
      <c r="B1155" t="s">
        <v>1272</v>
      </c>
      <c r="C1155" t="s">
        <v>7</v>
      </c>
      <c r="D1155" t="str">
        <f t="shared" si="50"/>
        <v>563510</v>
      </c>
      <c r="E1155" t="s">
        <v>1091</v>
      </c>
      <c r="F1155" t="s">
        <v>137</v>
      </c>
    </row>
    <row r="1156" spans="1:6" x14ac:dyDescent="0.25">
      <c r="A1156" t="str">
        <f>"43257232"</f>
        <v>43257232</v>
      </c>
      <c r="B1156" t="s">
        <v>1273</v>
      </c>
      <c r="C1156" t="s">
        <v>7</v>
      </c>
      <c r="D1156" t="str">
        <f t="shared" si="50"/>
        <v>563510</v>
      </c>
      <c r="E1156" t="s">
        <v>1091</v>
      </c>
      <c r="F1156" t="s">
        <v>35</v>
      </c>
    </row>
    <row r="1157" spans="1:6" x14ac:dyDescent="0.25">
      <c r="A1157" t="str">
        <f>"60252880"</f>
        <v>60252880</v>
      </c>
      <c r="B1157" t="s">
        <v>1274</v>
      </c>
      <c r="C1157" t="s">
        <v>15</v>
      </c>
      <c r="D1157" t="str">
        <f t="shared" si="50"/>
        <v>563510</v>
      </c>
      <c r="E1157" t="s">
        <v>1091</v>
      </c>
      <c r="F1157" t="s">
        <v>139</v>
      </c>
    </row>
    <row r="1158" spans="1:6" x14ac:dyDescent="0.25">
      <c r="A1158" t="str">
        <f>"14867656"</f>
        <v>14867656</v>
      </c>
      <c r="B1158" t="s">
        <v>1275</v>
      </c>
      <c r="C1158" t="s">
        <v>7</v>
      </c>
      <c r="D1158" t="str">
        <f t="shared" si="50"/>
        <v>563510</v>
      </c>
      <c r="E1158" t="s">
        <v>1091</v>
      </c>
      <c r="F1158" t="s">
        <v>139</v>
      </c>
    </row>
    <row r="1159" spans="1:6" x14ac:dyDescent="0.25">
      <c r="A1159" t="str">
        <f>"17674646"</f>
        <v>17674646</v>
      </c>
      <c r="B1159" t="s">
        <v>1276</v>
      </c>
      <c r="C1159" t="s">
        <v>7</v>
      </c>
      <c r="D1159" t="str">
        <f t="shared" si="50"/>
        <v>563510</v>
      </c>
      <c r="E1159" t="s">
        <v>1091</v>
      </c>
      <c r="F1159" t="s">
        <v>62</v>
      </c>
    </row>
    <row r="1160" spans="1:6" x14ac:dyDescent="0.25">
      <c r="A1160" t="str">
        <f>"26641232"</f>
        <v>26641232</v>
      </c>
      <c r="B1160" t="s">
        <v>1277</v>
      </c>
      <c r="C1160" t="s">
        <v>7</v>
      </c>
      <c r="D1160" t="str">
        <f t="shared" si="50"/>
        <v>563510</v>
      </c>
      <c r="E1160" t="s">
        <v>1091</v>
      </c>
      <c r="F1160" t="s">
        <v>35</v>
      </c>
    </row>
    <row r="1161" spans="1:6" x14ac:dyDescent="0.25">
      <c r="A1161" t="str">
        <f>"22249044"</f>
        <v>22249044</v>
      </c>
      <c r="B1161" t="s">
        <v>1278</v>
      </c>
      <c r="C1161" t="s">
        <v>7</v>
      </c>
      <c r="D1161" t="str">
        <f t="shared" si="50"/>
        <v>563510</v>
      </c>
      <c r="E1161" t="s">
        <v>1091</v>
      </c>
      <c r="F1161" t="s">
        <v>29</v>
      </c>
    </row>
    <row r="1162" spans="1:6" x14ac:dyDescent="0.25">
      <c r="A1162" t="str">
        <f>"03908984"</f>
        <v>03908984</v>
      </c>
      <c r="B1162" t="s">
        <v>1279</v>
      </c>
      <c r="C1162" t="s">
        <v>7</v>
      </c>
      <c r="D1162" t="str">
        <f t="shared" si="50"/>
        <v>563510</v>
      </c>
      <c r="E1162" t="s">
        <v>1091</v>
      </c>
      <c r="F1162" t="s">
        <v>11</v>
      </c>
    </row>
    <row r="1163" spans="1:6" x14ac:dyDescent="0.25">
      <c r="A1163" t="str">
        <f>"01819861"</f>
        <v>01819861</v>
      </c>
      <c r="B1163" t="s">
        <v>1280</v>
      </c>
      <c r="C1163" t="s">
        <v>7</v>
      </c>
      <c r="D1163" t="str">
        <f t="shared" si="50"/>
        <v>563510</v>
      </c>
      <c r="E1163" t="s">
        <v>1091</v>
      </c>
      <c r="F1163" t="s">
        <v>62</v>
      </c>
    </row>
    <row r="1164" spans="1:6" x14ac:dyDescent="0.25">
      <c r="A1164" t="str">
        <f>"60253223"</f>
        <v>60253223</v>
      </c>
      <c r="B1164" t="s">
        <v>1281</v>
      </c>
      <c r="C1164" t="s">
        <v>15</v>
      </c>
      <c r="D1164" t="str">
        <f t="shared" si="50"/>
        <v>563510</v>
      </c>
      <c r="E1164" t="s">
        <v>1091</v>
      </c>
      <c r="F1164" t="s">
        <v>35</v>
      </c>
    </row>
    <row r="1165" spans="1:6" x14ac:dyDescent="0.25">
      <c r="A1165" t="str">
        <f>"64668452"</f>
        <v>64668452</v>
      </c>
      <c r="B1165" t="s">
        <v>1282</v>
      </c>
      <c r="C1165" t="s">
        <v>15</v>
      </c>
      <c r="D1165" t="str">
        <f t="shared" si="50"/>
        <v>563510</v>
      </c>
      <c r="E1165" t="s">
        <v>1091</v>
      </c>
      <c r="F1165" t="s">
        <v>65</v>
      </c>
    </row>
    <row r="1166" spans="1:6" x14ac:dyDescent="0.25">
      <c r="A1166" t="str">
        <f>"44223501"</f>
        <v>44223501</v>
      </c>
      <c r="B1166" t="s">
        <v>1283</v>
      </c>
      <c r="C1166" t="s">
        <v>7</v>
      </c>
      <c r="D1166" t="str">
        <f t="shared" si="50"/>
        <v>563510</v>
      </c>
      <c r="E1166" t="s">
        <v>1091</v>
      </c>
      <c r="F1166" t="s">
        <v>35</v>
      </c>
    </row>
    <row r="1167" spans="1:6" x14ac:dyDescent="0.25">
      <c r="A1167" t="str">
        <f>"64669203"</f>
        <v>64669203</v>
      </c>
      <c r="B1167" t="s">
        <v>1284</v>
      </c>
      <c r="C1167" t="s">
        <v>7</v>
      </c>
      <c r="D1167" t="str">
        <f t="shared" si="50"/>
        <v>563510</v>
      </c>
      <c r="E1167" t="s">
        <v>1091</v>
      </c>
      <c r="F1167" t="s">
        <v>11</v>
      </c>
    </row>
    <row r="1168" spans="1:6" x14ac:dyDescent="0.25">
      <c r="A1168" t="str">
        <f>"64669092"</f>
        <v>64669092</v>
      </c>
      <c r="B1168" t="s">
        <v>1285</v>
      </c>
      <c r="C1168" t="s">
        <v>15</v>
      </c>
      <c r="D1168" t="str">
        <f t="shared" si="50"/>
        <v>563510</v>
      </c>
      <c r="E1168" t="s">
        <v>1091</v>
      </c>
      <c r="F1168" t="s">
        <v>11</v>
      </c>
    </row>
    <row r="1169" spans="1:6" x14ac:dyDescent="0.25">
      <c r="A1169" t="str">
        <f>"06211615"</f>
        <v>06211615</v>
      </c>
      <c r="B1169" t="s">
        <v>1286</v>
      </c>
      <c r="C1169" t="s">
        <v>7</v>
      </c>
      <c r="D1169" t="str">
        <f t="shared" si="50"/>
        <v>563510</v>
      </c>
      <c r="E1169" t="s">
        <v>1091</v>
      </c>
      <c r="F1169" t="s">
        <v>35</v>
      </c>
    </row>
    <row r="1170" spans="1:6" x14ac:dyDescent="0.25">
      <c r="A1170" t="str">
        <f>"60253240"</f>
        <v>60253240</v>
      </c>
      <c r="B1170" t="s">
        <v>1287</v>
      </c>
      <c r="C1170" t="s">
        <v>7</v>
      </c>
      <c r="D1170" t="str">
        <f t="shared" ref="D1170:D1233" si="51">"563510"</f>
        <v>563510</v>
      </c>
      <c r="E1170" t="s">
        <v>1091</v>
      </c>
      <c r="F1170" t="s">
        <v>11</v>
      </c>
    </row>
    <row r="1171" spans="1:6" x14ac:dyDescent="0.25">
      <c r="A1171" t="str">
        <f>"01724959"</f>
        <v>01724959</v>
      </c>
      <c r="B1171" t="s">
        <v>1288</v>
      </c>
      <c r="C1171" t="s">
        <v>7</v>
      </c>
      <c r="D1171" t="str">
        <f t="shared" si="51"/>
        <v>563510</v>
      </c>
      <c r="E1171" t="s">
        <v>1091</v>
      </c>
      <c r="F1171" t="s">
        <v>13</v>
      </c>
    </row>
    <row r="1172" spans="1:6" x14ac:dyDescent="0.25">
      <c r="A1172" t="str">
        <f>"02451204"</f>
        <v>02451204</v>
      </c>
      <c r="B1172" t="s">
        <v>1289</v>
      </c>
      <c r="C1172" t="s">
        <v>7</v>
      </c>
      <c r="D1172" t="str">
        <f t="shared" si="51"/>
        <v>563510</v>
      </c>
      <c r="E1172" t="s">
        <v>1091</v>
      </c>
      <c r="F1172" t="s">
        <v>13</v>
      </c>
    </row>
    <row r="1173" spans="1:6" x14ac:dyDescent="0.25">
      <c r="A1173" t="str">
        <f>"43256805"</f>
        <v>43256805</v>
      </c>
      <c r="B1173" t="s">
        <v>1290</v>
      </c>
      <c r="C1173" t="s">
        <v>7</v>
      </c>
      <c r="D1173" t="str">
        <f t="shared" si="51"/>
        <v>563510</v>
      </c>
      <c r="E1173" t="s">
        <v>1091</v>
      </c>
      <c r="F1173" t="s">
        <v>11</v>
      </c>
    </row>
    <row r="1174" spans="1:6" x14ac:dyDescent="0.25">
      <c r="A1174" t="str">
        <f>"26612356"</f>
        <v>26612356</v>
      </c>
      <c r="B1174" t="s">
        <v>1291</v>
      </c>
      <c r="C1174" t="s">
        <v>7</v>
      </c>
      <c r="D1174" t="str">
        <f t="shared" si="51"/>
        <v>563510</v>
      </c>
      <c r="E1174" t="s">
        <v>1091</v>
      </c>
      <c r="F1174" t="s">
        <v>11</v>
      </c>
    </row>
    <row r="1175" spans="1:6" x14ac:dyDescent="0.25">
      <c r="A1175" t="str">
        <f>"70894213"</f>
        <v>70894213</v>
      </c>
      <c r="B1175" t="s">
        <v>1292</v>
      </c>
      <c r="C1175" t="s">
        <v>7</v>
      </c>
      <c r="D1175" t="str">
        <f t="shared" si="51"/>
        <v>563510</v>
      </c>
      <c r="E1175" t="s">
        <v>1091</v>
      </c>
      <c r="F1175" t="s">
        <v>11</v>
      </c>
    </row>
    <row r="1176" spans="1:6" x14ac:dyDescent="0.25">
      <c r="A1176" t="str">
        <f>"02981343"</f>
        <v>02981343</v>
      </c>
      <c r="B1176" t="s">
        <v>1293</v>
      </c>
      <c r="C1176" t="s">
        <v>7</v>
      </c>
      <c r="D1176" t="str">
        <f t="shared" si="51"/>
        <v>563510</v>
      </c>
      <c r="E1176" t="s">
        <v>1091</v>
      </c>
      <c r="F1176" t="s">
        <v>62</v>
      </c>
    </row>
    <row r="1177" spans="1:6" x14ac:dyDescent="0.25">
      <c r="A1177" t="str">
        <f>"26636484"</f>
        <v>26636484</v>
      </c>
      <c r="B1177" t="s">
        <v>1294</v>
      </c>
      <c r="C1177" t="s">
        <v>7</v>
      </c>
      <c r="D1177" t="str">
        <f t="shared" si="51"/>
        <v>563510</v>
      </c>
      <c r="E1177" t="s">
        <v>1091</v>
      </c>
      <c r="F1177" t="s">
        <v>139</v>
      </c>
    </row>
    <row r="1178" spans="1:6" x14ac:dyDescent="0.25">
      <c r="A1178" t="str">
        <f>"22768700"</f>
        <v>22768700</v>
      </c>
      <c r="B1178" t="s">
        <v>1295</v>
      </c>
      <c r="C1178" t="s">
        <v>7</v>
      </c>
      <c r="D1178" t="str">
        <f t="shared" si="51"/>
        <v>563510</v>
      </c>
      <c r="E1178" t="s">
        <v>1091</v>
      </c>
      <c r="F1178" t="s">
        <v>18</v>
      </c>
    </row>
    <row r="1179" spans="1:6" x14ac:dyDescent="0.25">
      <c r="A1179" t="str">
        <f>"22661484"</f>
        <v>22661484</v>
      </c>
      <c r="B1179" t="s">
        <v>1296</v>
      </c>
      <c r="C1179" t="s">
        <v>7</v>
      </c>
      <c r="D1179" t="str">
        <f t="shared" si="51"/>
        <v>563510</v>
      </c>
      <c r="E1179" t="s">
        <v>1091</v>
      </c>
      <c r="F1179" t="s">
        <v>9</v>
      </c>
    </row>
    <row r="1180" spans="1:6" x14ac:dyDescent="0.25">
      <c r="A1180" t="str">
        <f>"26561662"</f>
        <v>26561662</v>
      </c>
      <c r="B1180" t="s">
        <v>1297</v>
      </c>
      <c r="C1180" t="s">
        <v>7</v>
      </c>
      <c r="D1180" t="str">
        <f t="shared" si="51"/>
        <v>563510</v>
      </c>
      <c r="E1180" t="s">
        <v>1091</v>
      </c>
      <c r="F1180" t="s">
        <v>389</v>
      </c>
    </row>
    <row r="1181" spans="1:6" x14ac:dyDescent="0.25">
      <c r="A1181" t="str">
        <f>"26572206"</f>
        <v>26572206</v>
      </c>
      <c r="B1181" t="s">
        <v>1298</v>
      </c>
      <c r="C1181" t="s">
        <v>7</v>
      </c>
      <c r="D1181" t="str">
        <f t="shared" si="51"/>
        <v>563510</v>
      </c>
      <c r="E1181" t="s">
        <v>1091</v>
      </c>
      <c r="F1181" t="s">
        <v>11</v>
      </c>
    </row>
    <row r="1182" spans="1:6" x14ac:dyDescent="0.25">
      <c r="A1182" t="str">
        <f>"68247231"</f>
        <v>68247231</v>
      </c>
      <c r="B1182" t="s">
        <v>1299</v>
      </c>
      <c r="C1182" t="s">
        <v>7</v>
      </c>
      <c r="D1182" t="str">
        <f t="shared" si="51"/>
        <v>563510</v>
      </c>
      <c r="E1182" t="s">
        <v>1091</v>
      </c>
      <c r="F1182" t="s">
        <v>1300</v>
      </c>
    </row>
    <row r="1183" spans="1:6" x14ac:dyDescent="0.25">
      <c r="A1183" t="str">
        <f>"03583112"</f>
        <v>03583112</v>
      </c>
      <c r="B1183" t="s">
        <v>1301</v>
      </c>
      <c r="C1183" t="s">
        <v>7</v>
      </c>
      <c r="D1183" t="str">
        <f t="shared" si="51"/>
        <v>563510</v>
      </c>
      <c r="E1183" t="s">
        <v>1091</v>
      </c>
      <c r="F1183" t="s">
        <v>11</v>
      </c>
    </row>
    <row r="1184" spans="1:6" x14ac:dyDescent="0.25">
      <c r="A1184" t="str">
        <f>"27005542"</f>
        <v>27005542</v>
      </c>
      <c r="B1184" t="s">
        <v>1302</v>
      </c>
      <c r="C1184" t="s">
        <v>7</v>
      </c>
      <c r="D1184" t="str">
        <f t="shared" si="51"/>
        <v>563510</v>
      </c>
      <c r="E1184" t="s">
        <v>1091</v>
      </c>
      <c r="F1184" t="s">
        <v>11</v>
      </c>
    </row>
    <row r="1185" spans="1:6" x14ac:dyDescent="0.25">
      <c r="A1185" t="str">
        <f>"03901581"</f>
        <v>03901581</v>
      </c>
      <c r="B1185" t="s">
        <v>1303</v>
      </c>
      <c r="C1185" t="s">
        <v>7</v>
      </c>
      <c r="D1185" t="str">
        <f t="shared" si="51"/>
        <v>563510</v>
      </c>
      <c r="E1185" t="s">
        <v>1091</v>
      </c>
      <c r="F1185" t="s">
        <v>29</v>
      </c>
    </row>
    <row r="1186" spans="1:6" x14ac:dyDescent="0.25">
      <c r="A1186" t="str">
        <f>"00425150"</f>
        <v>00425150</v>
      </c>
      <c r="B1186" t="s">
        <v>1304</v>
      </c>
      <c r="C1186" t="s">
        <v>15</v>
      </c>
      <c r="D1186" t="str">
        <f t="shared" si="51"/>
        <v>563510</v>
      </c>
      <c r="E1186" t="s">
        <v>1091</v>
      </c>
      <c r="F1186" t="s">
        <v>29</v>
      </c>
    </row>
    <row r="1187" spans="1:6" x14ac:dyDescent="0.25">
      <c r="A1187" t="str">
        <f>"64668444"</f>
        <v>64668444</v>
      </c>
      <c r="B1187" t="s">
        <v>1305</v>
      </c>
      <c r="C1187" t="s">
        <v>7</v>
      </c>
      <c r="D1187" t="str">
        <f t="shared" si="51"/>
        <v>563510</v>
      </c>
      <c r="E1187" t="s">
        <v>1091</v>
      </c>
      <c r="F1187" t="s">
        <v>11</v>
      </c>
    </row>
    <row r="1188" spans="1:6" x14ac:dyDescent="0.25">
      <c r="A1188" t="str">
        <f>"43256287"</f>
        <v>43256287</v>
      </c>
      <c r="B1188" t="s">
        <v>1306</v>
      </c>
      <c r="C1188" t="s">
        <v>7</v>
      </c>
      <c r="D1188" t="str">
        <f t="shared" si="51"/>
        <v>563510</v>
      </c>
      <c r="E1188" t="s">
        <v>1091</v>
      </c>
      <c r="F1188" t="s">
        <v>44</v>
      </c>
    </row>
    <row r="1189" spans="1:6" x14ac:dyDescent="0.25">
      <c r="A1189" t="str">
        <f>"22875760"</f>
        <v>22875760</v>
      </c>
      <c r="B1189" t="s">
        <v>1307</v>
      </c>
      <c r="C1189" t="s">
        <v>7</v>
      </c>
      <c r="D1189" t="str">
        <f t="shared" si="51"/>
        <v>563510</v>
      </c>
      <c r="E1189" t="s">
        <v>1091</v>
      </c>
      <c r="F1189" t="s">
        <v>9</v>
      </c>
    </row>
    <row r="1190" spans="1:6" x14ac:dyDescent="0.25">
      <c r="A1190" t="str">
        <f>"22829822"</f>
        <v>22829822</v>
      </c>
      <c r="B1190" t="s">
        <v>1308</v>
      </c>
      <c r="C1190" t="s">
        <v>7</v>
      </c>
      <c r="D1190" t="str">
        <f t="shared" si="51"/>
        <v>563510</v>
      </c>
      <c r="E1190" t="s">
        <v>1091</v>
      </c>
      <c r="F1190" t="s">
        <v>11</v>
      </c>
    </row>
    <row r="1191" spans="1:6" x14ac:dyDescent="0.25">
      <c r="A1191" t="str">
        <f>"21485143"</f>
        <v>21485143</v>
      </c>
      <c r="B1191" t="s">
        <v>1309</v>
      </c>
      <c r="C1191" t="s">
        <v>15</v>
      </c>
      <c r="D1191" t="str">
        <f t="shared" si="51"/>
        <v>563510</v>
      </c>
      <c r="E1191" t="s">
        <v>1091</v>
      </c>
      <c r="F1191" t="s">
        <v>11</v>
      </c>
    </row>
    <row r="1192" spans="1:6" x14ac:dyDescent="0.25">
      <c r="A1192" t="str">
        <f>"01781642"</f>
        <v>01781642</v>
      </c>
      <c r="B1192" t="s">
        <v>1310</v>
      </c>
      <c r="C1192" t="s">
        <v>7</v>
      </c>
      <c r="D1192" t="str">
        <f t="shared" si="51"/>
        <v>563510</v>
      </c>
      <c r="E1192" t="s">
        <v>1091</v>
      </c>
      <c r="F1192" t="s">
        <v>11</v>
      </c>
    </row>
    <row r="1193" spans="1:6" x14ac:dyDescent="0.25">
      <c r="A1193" t="str">
        <f>"19384742"</f>
        <v>19384742</v>
      </c>
      <c r="B1193" t="s">
        <v>1311</v>
      </c>
      <c r="C1193" t="s">
        <v>15</v>
      </c>
      <c r="D1193" t="str">
        <f t="shared" si="51"/>
        <v>563510</v>
      </c>
      <c r="E1193" t="s">
        <v>1091</v>
      </c>
      <c r="F1193" t="s">
        <v>9</v>
      </c>
    </row>
    <row r="1194" spans="1:6" x14ac:dyDescent="0.25">
      <c r="A1194" t="str">
        <f>"60254106"</f>
        <v>60254106</v>
      </c>
      <c r="B1194" t="s">
        <v>1312</v>
      </c>
      <c r="C1194" t="s">
        <v>15</v>
      </c>
      <c r="D1194" t="str">
        <f t="shared" si="51"/>
        <v>563510</v>
      </c>
      <c r="E1194" t="s">
        <v>1091</v>
      </c>
      <c r="F1194" t="s">
        <v>11</v>
      </c>
    </row>
    <row r="1195" spans="1:6" x14ac:dyDescent="0.25">
      <c r="A1195" t="str">
        <f>"07671911"</f>
        <v>07671911</v>
      </c>
      <c r="B1195" t="s">
        <v>1313</v>
      </c>
      <c r="C1195" t="s">
        <v>7</v>
      </c>
      <c r="D1195" t="str">
        <f t="shared" si="51"/>
        <v>563510</v>
      </c>
      <c r="E1195" t="s">
        <v>1091</v>
      </c>
      <c r="F1195" t="s">
        <v>35</v>
      </c>
    </row>
    <row r="1196" spans="1:6" x14ac:dyDescent="0.25">
      <c r="A1196" t="str">
        <f>"22837655"</f>
        <v>22837655</v>
      </c>
      <c r="B1196" t="s">
        <v>1314</v>
      </c>
      <c r="C1196" t="s">
        <v>7</v>
      </c>
      <c r="D1196" t="str">
        <f t="shared" si="51"/>
        <v>563510</v>
      </c>
      <c r="E1196" t="s">
        <v>1091</v>
      </c>
      <c r="F1196" t="s">
        <v>137</v>
      </c>
    </row>
    <row r="1197" spans="1:6" x14ac:dyDescent="0.25">
      <c r="A1197" t="str">
        <f>"26525429"</f>
        <v>26525429</v>
      </c>
      <c r="B1197" t="s">
        <v>1315</v>
      </c>
      <c r="C1197" t="s">
        <v>7</v>
      </c>
      <c r="D1197" t="str">
        <f t="shared" si="51"/>
        <v>563510</v>
      </c>
      <c r="E1197" t="s">
        <v>1091</v>
      </c>
      <c r="F1197" t="s">
        <v>11</v>
      </c>
    </row>
    <row r="1198" spans="1:6" x14ac:dyDescent="0.25">
      <c r="A1198" t="str">
        <f>"22819274"</f>
        <v>22819274</v>
      </c>
      <c r="B1198" t="s">
        <v>1316</v>
      </c>
      <c r="C1198" t="s">
        <v>7</v>
      </c>
      <c r="D1198" t="str">
        <f t="shared" si="51"/>
        <v>563510</v>
      </c>
      <c r="E1198" t="s">
        <v>1091</v>
      </c>
      <c r="F1198" t="s">
        <v>29</v>
      </c>
    </row>
    <row r="1199" spans="1:6" x14ac:dyDescent="0.25">
      <c r="A1199" t="str">
        <f>"22450173"</f>
        <v>22450173</v>
      </c>
      <c r="B1199" t="s">
        <v>1317</v>
      </c>
      <c r="C1199" t="s">
        <v>7</v>
      </c>
      <c r="D1199" t="str">
        <f t="shared" si="51"/>
        <v>563510</v>
      </c>
      <c r="E1199" t="s">
        <v>1091</v>
      </c>
      <c r="F1199" t="s">
        <v>139</v>
      </c>
    </row>
    <row r="1200" spans="1:6" x14ac:dyDescent="0.25">
      <c r="A1200" t="str">
        <f>"27026451"</f>
        <v>27026451</v>
      </c>
      <c r="B1200" t="s">
        <v>1318</v>
      </c>
      <c r="C1200" t="s">
        <v>7</v>
      </c>
      <c r="D1200" t="str">
        <f t="shared" si="51"/>
        <v>563510</v>
      </c>
      <c r="E1200" t="s">
        <v>1091</v>
      </c>
      <c r="F1200" t="s">
        <v>11</v>
      </c>
    </row>
    <row r="1201" spans="1:6" x14ac:dyDescent="0.25">
      <c r="A1201" t="str">
        <f>"22694404"</f>
        <v>22694404</v>
      </c>
      <c r="B1201" t="s">
        <v>1319</v>
      </c>
      <c r="C1201" t="s">
        <v>7</v>
      </c>
      <c r="D1201" t="str">
        <f t="shared" si="51"/>
        <v>563510</v>
      </c>
      <c r="E1201" t="s">
        <v>1091</v>
      </c>
      <c r="F1201" t="s">
        <v>9</v>
      </c>
    </row>
    <row r="1202" spans="1:6" x14ac:dyDescent="0.25">
      <c r="A1202" t="str">
        <f>"70226814"</f>
        <v>70226814</v>
      </c>
      <c r="B1202" t="s">
        <v>1320</v>
      </c>
      <c r="C1202" t="s">
        <v>7</v>
      </c>
      <c r="D1202" t="str">
        <f t="shared" si="51"/>
        <v>563510</v>
      </c>
      <c r="E1202" t="s">
        <v>1091</v>
      </c>
      <c r="F1202" t="s">
        <v>604</v>
      </c>
    </row>
    <row r="1203" spans="1:6" x14ac:dyDescent="0.25">
      <c r="A1203" t="str">
        <f>"09623141"</f>
        <v>09623141</v>
      </c>
      <c r="B1203" t="s">
        <v>1321</v>
      </c>
      <c r="C1203" t="s">
        <v>7</v>
      </c>
      <c r="D1203" t="str">
        <f t="shared" si="51"/>
        <v>563510</v>
      </c>
      <c r="E1203" t="s">
        <v>1091</v>
      </c>
      <c r="F1203" t="s">
        <v>11</v>
      </c>
    </row>
    <row r="1204" spans="1:6" x14ac:dyDescent="0.25">
      <c r="A1204" t="str">
        <f>"00406708"</f>
        <v>00406708</v>
      </c>
      <c r="B1204" t="s">
        <v>1322</v>
      </c>
      <c r="C1204" t="s">
        <v>7</v>
      </c>
      <c r="D1204" t="str">
        <f t="shared" si="51"/>
        <v>563510</v>
      </c>
      <c r="E1204" t="s">
        <v>1091</v>
      </c>
      <c r="F1204" t="s">
        <v>11</v>
      </c>
    </row>
    <row r="1205" spans="1:6" x14ac:dyDescent="0.25">
      <c r="A1205" t="str">
        <f>"21740852"</f>
        <v>21740852</v>
      </c>
      <c r="B1205" t="s">
        <v>1323</v>
      </c>
      <c r="C1205" t="s">
        <v>7</v>
      </c>
      <c r="D1205" t="str">
        <f t="shared" si="51"/>
        <v>563510</v>
      </c>
      <c r="E1205" t="s">
        <v>1091</v>
      </c>
      <c r="F1205" t="s">
        <v>11</v>
      </c>
    </row>
    <row r="1206" spans="1:6" x14ac:dyDescent="0.25">
      <c r="A1206" t="str">
        <f>"05508720"</f>
        <v>05508720</v>
      </c>
      <c r="B1206" t="s">
        <v>1324</v>
      </c>
      <c r="C1206" t="s">
        <v>27</v>
      </c>
      <c r="D1206" t="str">
        <f t="shared" si="51"/>
        <v>563510</v>
      </c>
      <c r="E1206" t="s">
        <v>1091</v>
      </c>
      <c r="F1206" t="s">
        <v>865</v>
      </c>
    </row>
    <row r="1207" spans="1:6" x14ac:dyDescent="0.25">
      <c r="A1207" t="str">
        <f>"68435410"</f>
        <v>68435410</v>
      </c>
      <c r="B1207" t="s">
        <v>1325</v>
      </c>
      <c r="C1207" t="s">
        <v>7</v>
      </c>
      <c r="D1207" t="str">
        <f t="shared" si="51"/>
        <v>563510</v>
      </c>
      <c r="E1207" t="s">
        <v>1091</v>
      </c>
      <c r="F1207" t="s">
        <v>11</v>
      </c>
    </row>
    <row r="1208" spans="1:6" x14ac:dyDescent="0.25">
      <c r="A1208" t="str">
        <f>"68954506"</f>
        <v>68954506</v>
      </c>
      <c r="B1208" t="s">
        <v>1326</v>
      </c>
      <c r="C1208" t="s">
        <v>7</v>
      </c>
      <c r="D1208" t="str">
        <f t="shared" si="51"/>
        <v>563510</v>
      </c>
      <c r="E1208" t="s">
        <v>1091</v>
      </c>
      <c r="F1208" t="s">
        <v>11</v>
      </c>
    </row>
    <row r="1209" spans="1:6" x14ac:dyDescent="0.25">
      <c r="A1209" t="str">
        <f>"22630325"</f>
        <v>22630325</v>
      </c>
      <c r="B1209" t="s">
        <v>1327</v>
      </c>
      <c r="C1209" t="s">
        <v>15</v>
      </c>
      <c r="D1209" t="str">
        <f t="shared" si="51"/>
        <v>563510</v>
      </c>
      <c r="E1209" t="s">
        <v>1091</v>
      </c>
      <c r="F1209" t="s">
        <v>13</v>
      </c>
    </row>
    <row r="1210" spans="1:6" x14ac:dyDescent="0.25">
      <c r="A1210" t="str">
        <f>"21723796"</f>
        <v>21723796</v>
      </c>
      <c r="B1210" t="s">
        <v>1328</v>
      </c>
      <c r="C1210" t="s">
        <v>7</v>
      </c>
      <c r="D1210" t="str">
        <f t="shared" si="51"/>
        <v>563510</v>
      </c>
      <c r="E1210" t="s">
        <v>1091</v>
      </c>
      <c r="F1210" t="s">
        <v>496</v>
      </c>
    </row>
    <row r="1211" spans="1:6" x14ac:dyDescent="0.25">
      <c r="A1211" t="str">
        <f>"22186506"</f>
        <v>22186506</v>
      </c>
      <c r="B1211" t="s">
        <v>1329</v>
      </c>
      <c r="C1211" t="s">
        <v>7</v>
      </c>
      <c r="D1211" t="str">
        <f t="shared" si="51"/>
        <v>563510</v>
      </c>
      <c r="E1211" t="s">
        <v>1091</v>
      </c>
      <c r="F1211" t="s">
        <v>139</v>
      </c>
    </row>
    <row r="1212" spans="1:6" x14ac:dyDescent="0.25">
      <c r="A1212" t="str">
        <f>"27038572"</f>
        <v>27038572</v>
      </c>
      <c r="B1212" t="s">
        <v>1330</v>
      </c>
      <c r="C1212" t="s">
        <v>7</v>
      </c>
      <c r="D1212" t="str">
        <f t="shared" si="51"/>
        <v>563510</v>
      </c>
      <c r="E1212" t="s">
        <v>1091</v>
      </c>
      <c r="F1212" t="s">
        <v>11</v>
      </c>
    </row>
    <row r="1213" spans="1:6" x14ac:dyDescent="0.25">
      <c r="A1213" t="str">
        <f>"69291349"</f>
        <v>69291349</v>
      </c>
      <c r="B1213" t="s">
        <v>1331</v>
      </c>
      <c r="C1213" t="s">
        <v>7</v>
      </c>
      <c r="D1213" t="str">
        <f t="shared" si="51"/>
        <v>563510</v>
      </c>
      <c r="E1213" t="s">
        <v>1091</v>
      </c>
      <c r="F1213" t="s">
        <v>326</v>
      </c>
    </row>
    <row r="1214" spans="1:6" x14ac:dyDescent="0.25">
      <c r="A1214" t="str">
        <f>"04708229"</f>
        <v>04708229</v>
      </c>
      <c r="B1214" t="s">
        <v>1332</v>
      </c>
      <c r="C1214" t="s">
        <v>7</v>
      </c>
      <c r="D1214" t="str">
        <f t="shared" si="51"/>
        <v>563510</v>
      </c>
      <c r="E1214" t="s">
        <v>1091</v>
      </c>
      <c r="F1214" t="s">
        <v>35</v>
      </c>
    </row>
    <row r="1215" spans="1:6" x14ac:dyDescent="0.25">
      <c r="A1215" t="str">
        <f>"06372945"</f>
        <v>06372945</v>
      </c>
      <c r="B1215" t="s">
        <v>1333</v>
      </c>
      <c r="C1215" t="s">
        <v>7</v>
      </c>
      <c r="D1215" t="str">
        <f t="shared" si="51"/>
        <v>563510</v>
      </c>
      <c r="E1215" t="s">
        <v>1091</v>
      </c>
      <c r="F1215" t="s">
        <v>139</v>
      </c>
    </row>
    <row r="1216" spans="1:6" x14ac:dyDescent="0.25">
      <c r="A1216" t="str">
        <f>"21298807"</f>
        <v>21298807</v>
      </c>
      <c r="B1216" t="s">
        <v>1334</v>
      </c>
      <c r="C1216" t="s">
        <v>7</v>
      </c>
      <c r="D1216" t="str">
        <f t="shared" si="51"/>
        <v>563510</v>
      </c>
      <c r="E1216" t="s">
        <v>1091</v>
      </c>
      <c r="F1216" t="s">
        <v>11</v>
      </c>
    </row>
    <row r="1217" spans="1:6" x14ac:dyDescent="0.25">
      <c r="A1217" t="str">
        <f>"22681175"</f>
        <v>22681175</v>
      </c>
      <c r="B1217" t="s">
        <v>1335</v>
      </c>
      <c r="C1217" t="s">
        <v>7</v>
      </c>
      <c r="D1217" t="str">
        <f t="shared" si="51"/>
        <v>563510</v>
      </c>
      <c r="E1217" t="s">
        <v>1091</v>
      </c>
      <c r="F1217" t="s">
        <v>11</v>
      </c>
    </row>
    <row r="1218" spans="1:6" x14ac:dyDescent="0.25">
      <c r="A1218" t="str">
        <f>"08169560"</f>
        <v>08169560</v>
      </c>
      <c r="B1218" t="s">
        <v>1336</v>
      </c>
      <c r="C1218" t="s">
        <v>7</v>
      </c>
      <c r="D1218" t="str">
        <f t="shared" si="51"/>
        <v>563510</v>
      </c>
      <c r="E1218" t="s">
        <v>1091</v>
      </c>
      <c r="F1218" t="s">
        <v>11</v>
      </c>
    </row>
    <row r="1219" spans="1:6" x14ac:dyDescent="0.25">
      <c r="A1219" t="str">
        <f>"43256627"</f>
        <v>43256627</v>
      </c>
      <c r="B1219" t="s">
        <v>1337</v>
      </c>
      <c r="C1219" t="s">
        <v>7</v>
      </c>
      <c r="D1219" t="str">
        <f t="shared" si="51"/>
        <v>563510</v>
      </c>
      <c r="E1219" t="s">
        <v>1091</v>
      </c>
      <c r="F1219" t="s">
        <v>38</v>
      </c>
    </row>
    <row r="1220" spans="1:6" x14ac:dyDescent="0.25">
      <c r="A1220" t="str">
        <f>"64669785"</f>
        <v>64669785</v>
      </c>
      <c r="B1220" t="s">
        <v>1338</v>
      </c>
      <c r="C1220" t="s">
        <v>43</v>
      </c>
      <c r="D1220" t="str">
        <f t="shared" si="51"/>
        <v>563510</v>
      </c>
      <c r="E1220" t="s">
        <v>1091</v>
      </c>
      <c r="F1220" t="s">
        <v>44</v>
      </c>
    </row>
    <row r="1221" spans="1:6" x14ac:dyDescent="0.25">
      <c r="A1221" t="str">
        <f>"64669777"</f>
        <v>64669777</v>
      </c>
      <c r="B1221" t="s">
        <v>1339</v>
      </c>
      <c r="C1221" t="s">
        <v>43</v>
      </c>
      <c r="D1221" t="str">
        <f t="shared" si="51"/>
        <v>563510</v>
      </c>
      <c r="E1221" t="s">
        <v>1091</v>
      </c>
      <c r="F1221" t="s">
        <v>44</v>
      </c>
    </row>
    <row r="1222" spans="1:6" x14ac:dyDescent="0.25">
      <c r="A1222" t="str">
        <f>"64669793"</f>
        <v>64669793</v>
      </c>
      <c r="B1222" t="s">
        <v>1340</v>
      </c>
      <c r="C1222" t="s">
        <v>43</v>
      </c>
      <c r="D1222" t="str">
        <f t="shared" si="51"/>
        <v>563510</v>
      </c>
      <c r="E1222" t="s">
        <v>1091</v>
      </c>
      <c r="F1222" t="s">
        <v>44</v>
      </c>
    </row>
    <row r="1223" spans="1:6" x14ac:dyDescent="0.25">
      <c r="A1223" t="str">
        <f>"04564472"</f>
        <v>04564472</v>
      </c>
      <c r="B1223" t="s">
        <v>1341</v>
      </c>
      <c r="C1223" t="s">
        <v>325</v>
      </c>
      <c r="D1223" t="str">
        <f t="shared" si="51"/>
        <v>563510</v>
      </c>
      <c r="E1223" t="s">
        <v>1091</v>
      </c>
      <c r="F1223" t="s">
        <v>11</v>
      </c>
    </row>
    <row r="1224" spans="1:6" x14ac:dyDescent="0.25">
      <c r="A1224" t="str">
        <f>"64045838"</f>
        <v>64045838</v>
      </c>
      <c r="B1224" t="s">
        <v>1342</v>
      </c>
      <c r="C1224" t="s">
        <v>325</v>
      </c>
      <c r="D1224" t="str">
        <f t="shared" si="51"/>
        <v>563510</v>
      </c>
      <c r="E1224" t="s">
        <v>1091</v>
      </c>
      <c r="F1224" t="s">
        <v>11</v>
      </c>
    </row>
    <row r="1225" spans="1:6" x14ac:dyDescent="0.25">
      <c r="A1225" t="str">
        <f>"60254092"</f>
        <v>60254092</v>
      </c>
      <c r="B1225" t="s">
        <v>1343</v>
      </c>
      <c r="C1225" t="s">
        <v>325</v>
      </c>
      <c r="D1225" t="str">
        <f t="shared" si="51"/>
        <v>563510</v>
      </c>
      <c r="E1225" t="s">
        <v>1091</v>
      </c>
      <c r="F1225" t="s">
        <v>11</v>
      </c>
    </row>
    <row r="1226" spans="1:6" x14ac:dyDescent="0.25">
      <c r="A1226" t="str">
        <f>"19497172"</f>
        <v>19497172</v>
      </c>
      <c r="B1226" t="s">
        <v>1344</v>
      </c>
      <c r="C1226" t="s">
        <v>124</v>
      </c>
      <c r="D1226" t="str">
        <f t="shared" si="51"/>
        <v>563510</v>
      </c>
      <c r="E1226" t="s">
        <v>1091</v>
      </c>
      <c r="F1226" t="s">
        <v>13</v>
      </c>
    </row>
    <row r="1227" spans="1:6" x14ac:dyDescent="0.25">
      <c r="A1227" t="str">
        <f>"04850742"</f>
        <v>04850742</v>
      </c>
      <c r="B1227" t="s">
        <v>1345</v>
      </c>
      <c r="C1227" t="s">
        <v>124</v>
      </c>
      <c r="D1227" t="str">
        <f t="shared" si="51"/>
        <v>563510</v>
      </c>
      <c r="E1227" t="s">
        <v>1091</v>
      </c>
      <c r="F1227" t="s">
        <v>11</v>
      </c>
    </row>
    <row r="1228" spans="1:6" x14ac:dyDescent="0.25">
      <c r="A1228" t="str">
        <f>"27338835"</f>
        <v>27338835</v>
      </c>
      <c r="B1228" t="s">
        <v>1346</v>
      </c>
      <c r="C1228" t="s">
        <v>124</v>
      </c>
      <c r="D1228" t="str">
        <f t="shared" si="51"/>
        <v>563510</v>
      </c>
      <c r="E1228" t="s">
        <v>1091</v>
      </c>
      <c r="F1228" t="s">
        <v>11</v>
      </c>
    </row>
    <row r="1229" spans="1:6" x14ac:dyDescent="0.25">
      <c r="A1229" t="str">
        <f>"22053930"</f>
        <v>22053930</v>
      </c>
      <c r="B1229" t="s">
        <v>1347</v>
      </c>
      <c r="C1229" t="s">
        <v>124</v>
      </c>
      <c r="D1229" t="str">
        <f t="shared" si="51"/>
        <v>563510</v>
      </c>
      <c r="E1229" t="s">
        <v>1091</v>
      </c>
      <c r="F1229" t="s">
        <v>13</v>
      </c>
    </row>
    <row r="1230" spans="1:6" x14ac:dyDescent="0.25">
      <c r="A1230" t="str">
        <f>"09735046"</f>
        <v>09735046</v>
      </c>
      <c r="B1230" t="s">
        <v>1348</v>
      </c>
      <c r="C1230" t="s">
        <v>124</v>
      </c>
      <c r="D1230" t="str">
        <f t="shared" si="51"/>
        <v>563510</v>
      </c>
      <c r="E1230" t="s">
        <v>1091</v>
      </c>
      <c r="F1230" t="s">
        <v>13</v>
      </c>
    </row>
    <row r="1231" spans="1:6" x14ac:dyDescent="0.25">
      <c r="A1231" t="str">
        <f>"28751574"</f>
        <v>28751574</v>
      </c>
      <c r="B1231" t="s">
        <v>1349</v>
      </c>
      <c r="C1231" t="s">
        <v>325</v>
      </c>
      <c r="D1231" t="str">
        <f t="shared" si="51"/>
        <v>563510</v>
      </c>
      <c r="E1231" t="s">
        <v>1091</v>
      </c>
      <c r="F1231" t="s">
        <v>13</v>
      </c>
    </row>
    <row r="1232" spans="1:6" x14ac:dyDescent="0.25">
      <c r="A1232" t="str">
        <f>"17964687"</f>
        <v>17964687</v>
      </c>
      <c r="B1232" t="s">
        <v>1350</v>
      </c>
      <c r="C1232" t="s">
        <v>124</v>
      </c>
      <c r="D1232" t="str">
        <f t="shared" si="51"/>
        <v>563510</v>
      </c>
      <c r="E1232" t="s">
        <v>1091</v>
      </c>
      <c r="F1232" t="s">
        <v>11</v>
      </c>
    </row>
    <row r="1233" spans="1:6" x14ac:dyDescent="0.25">
      <c r="A1233" t="str">
        <f>"06879411"</f>
        <v>06879411</v>
      </c>
      <c r="B1233" t="s">
        <v>1351</v>
      </c>
      <c r="C1233" t="s">
        <v>124</v>
      </c>
      <c r="D1233" t="str">
        <f t="shared" si="51"/>
        <v>563510</v>
      </c>
      <c r="E1233" t="s">
        <v>1091</v>
      </c>
      <c r="F1233" t="s">
        <v>13</v>
      </c>
    </row>
    <row r="1234" spans="1:6" x14ac:dyDescent="0.25">
      <c r="A1234" t="str">
        <f>"65081391"</f>
        <v>65081391</v>
      </c>
      <c r="B1234" t="s">
        <v>1352</v>
      </c>
      <c r="C1234" t="s">
        <v>124</v>
      </c>
      <c r="D1234" t="str">
        <f t="shared" ref="D1234:D1297" si="52">"563510"</f>
        <v>563510</v>
      </c>
      <c r="E1234" t="s">
        <v>1091</v>
      </c>
      <c r="F1234" t="s">
        <v>11</v>
      </c>
    </row>
    <row r="1235" spans="1:6" x14ac:dyDescent="0.25">
      <c r="A1235" t="str">
        <f>"28740297"</f>
        <v>28740297</v>
      </c>
      <c r="B1235" t="s">
        <v>1353</v>
      </c>
      <c r="C1235" t="s">
        <v>124</v>
      </c>
      <c r="D1235" t="str">
        <f t="shared" si="52"/>
        <v>563510</v>
      </c>
      <c r="E1235" t="s">
        <v>1091</v>
      </c>
      <c r="F1235" t="s">
        <v>11</v>
      </c>
    </row>
    <row r="1236" spans="1:6" x14ac:dyDescent="0.25">
      <c r="A1236" t="str">
        <f>"04485271"</f>
        <v>04485271</v>
      </c>
      <c r="B1236" t="s">
        <v>1354</v>
      </c>
      <c r="C1236" t="s">
        <v>124</v>
      </c>
      <c r="D1236" t="str">
        <f t="shared" si="52"/>
        <v>563510</v>
      </c>
      <c r="E1236" t="s">
        <v>1091</v>
      </c>
      <c r="F1236" t="s">
        <v>13</v>
      </c>
    </row>
    <row r="1237" spans="1:6" x14ac:dyDescent="0.25">
      <c r="A1237" t="str">
        <f>"27336085"</f>
        <v>27336085</v>
      </c>
      <c r="B1237" t="s">
        <v>1355</v>
      </c>
      <c r="C1237" t="s">
        <v>124</v>
      </c>
      <c r="D1237" t="str">
        <f t="shared" si="52"/>
        <v>563510</v>
      </c>
      <c r="E1237" t="s">
        <v>1091</v>
      </c>
      <c r="F1237" t="s">
        <v>326</v>
      </c>
    </row>
    <row r="1238" spans="1:6" x14ac:dyDescent="0.25">
      <c r="A1238" t="str">
        <f>"27358534"</f>
        <v>27358534</v>
      </c>
      <c r="B1238" t="s">
        <v>1356</v>
      </c>
      <c r="C1238" t="s">
        <v>124</v>
      </c>
      <c r="D1238" t="str">
        <f t="shared" si="52"/>
        <v>563510</v>
      </c>
      <c r="E1238" t="s">
        <v>1091</v>
      </c>
      <c r="F1238" t="s">
        <v>183</v>
      </c>
    </row>
    <row r="1239" spans="1:6" x14ac:dyDescent="0.25">
      <c r="A1239" t="str">
        <f>"28713320"</f>
        <v>28713320</v>
      </c>
      <c r="B1239" t="s">
        <v>1357</v>
      </c>
      <c r="C1239" t="s">
        <v>325</v>
      </c>
      <c r="D1239" t="str">
        <f t="shared" si="52"/>
        <v>563510</v>
      </c>
      <c r="E1239" t="s">
        <v>1091</v>
      </c>
      <c r="F1239" t="s">
        <v>11</v>
      </c>
    </row>
    <row r="1240" spans="1:6" x14ac:dyDescent="0.25">
      <c r="A1240" t="str">
        <f>"05502314"</f>
        <v>05502314</v>
      </c>
      <c r="B1240" t="s">
        <v>1358</v>
      </c>
      <c r="C1240" t="s">
        <v>7</v>
      </c>
      <c r="D1240" t="str">
        <f t="shared" si="52"/>
        <v>563510</v>
      </c>
      <c r="E1240" t="s">
        <v>1091</v>
      </c>
      <c r="F1240" t="s">
        <v>13</v>
      </c>
    </row>
    <row r="1241" spans="1:6" x14ac:dyDescent="0.25">
      <c r="A1241" t="str">
        <f>"02246627"</f>
        <v>02246627</v>
      </c>
      <c r="B1241" t="s">
        <v>1359</v>
      </c>
      <c r="C1241" t="s">
        <v>7</v>
      </c>
      <c r="D1241" t="str">
        <f t="shared" si="52"/>
        <v>563510</v>
      </c>
      <c r="E1241" t="s">
        <v>1091</v>
      </c>
      <c r="F1241" t="s">
        <v>18</v>
      </c>
    </row>
    <row r="1242" spans="1:6" x14ac:dyDescent="0.25">
      <c r="A1242" t="str">
        <f>"26655560"</f>
        <v>26655560</v>
      </c>
      <c r="B1242" t="s">
        <v>1360</v>
      </c>
      <c r="C1242" t="s">
        <v>7</v>
      </c>
      <c r="D1242" t="str">
        <f t="shared" si="52"/>
        <v>563510</v>
      </c>
      <c r="E1242" t="s">
        <v>1091</v>
      </c>
      <c r="F1242" t="s">
        <v>11</v>
      </c>
    </row>
    <row r="1243" spans="1:6" x14ac:dyDescent="0.25">
      <c r="A1243" t="str">
        <f>"26639882"</f>
        <v>26639882</v>
      </c>
      <c r="B1243" t="s">
        <v>1361</v>
      </c>
      <c r="C1243" t="s">
        <v>7</v>
      </c>
      <c r="D1243" t="str">
        <f t="shared" si="52"/>
        <v>563510</v>
      </c>
      <c r="E1243" t="s">
        <v>1091</v>
      </c>
      <c r="F1243" t="s">
        <v>137</v>
      </c>
    </row>
    <row r="1244" spans="1:6" x14ac:dyDescent="0.25">
      <c r="A1244" t="str">
        <f>"26524911"</f>
        <v>26524911</v>
      </c>
      <c r="B1244" t="s">
        <v>1362</v>
      </c>
      <c r="C1244" t="s">
        <v>20</v>
      </c>
      <c r="D1244" t="str">
        <f t="shared" si="52"/>
        <v>563510</v>
      </c>
      <c r="E1244" t="s">
        <v>1091</v>
      </c>
      <c r="F1244" t="s">
        <v>21</v>
      </c>
    </row>
    <row r="1245" spans="1:6" x14ac:dyDescent="0.25">
      <c r="A1245" t="str">
        <f>"22610031"</f>
        <v>22610031</v>
      </c>
      <c r="B1245" t="s">
        <v>1363</v>
      </c>
      <c r="C1245" t="s">
        <v>20</v>
      </c>
      <c r="D1245" t="str">
        <f t="shared" si="52"/>
        <v>563510</v>
      </c>
      <c r="E1245" t="s">
        <v>1091</v>
      </c>
      <c r="F1245" t="s">
        <v>21</v>
      </c>
    </row>
    <row r="1246" spans="1:6" x14ac:dyDescent="0.25">
      <c r="A1246" t="str">
        <f>"17444241"</f>
        <v>17444241</v>
      </c>
      <c r="B1246" t="s">
        <v>1364</v>
      </c>
      <c r="C1246" t="s">
        <v>7</v>
      </c>
      <c r="D1246" t="str">
        <f t="shared" si="52"/>
        <v>563510</v>
      </c>
      <c r="E1246" t="s">
        <v>1091</v>
      </c>
      <c r="F1246" t="s">
        <v>62</v>
      </c>
    </row>
    <row r="1247" spans="1:6" x14ac:dyDescent="0.25">
      <c r="A1247" t="str">
        <f>"06438407"</f>
        <v>06438407</v>
      </c>
      <c r="B1247" t="s">
        <v>1365</v>
      </c>
      <c r="C1247" t="s">
        <v>7</v>
      </c>
      <c r="D1247" t="str">
        <f t="shared" si="52"/>
        <v>563510</v>
      </c>
      <c r="E1247" t="s">
        <v>1091</v>
      </c>
      <c r="F1247" t="s">
        <v>35</v>
      </c>
    </row>
    <row r="1248" spans="1:6" x14ac:dyDescent="0.25">
      <c r="A1248" t="str">
        <f>"71443452"</f>
        <v>71443452</v>
      </c>
      <c r="B1248" t="s">
        <v>1366</v>
      </c>
      <c r="C1248" t="s">
        <v>1038</v>
      </c>
      <c r="D1248" t="str">
        <f t="shared" si="52"/>
        <v>563510</v>
      </c>
      <c r="E1248" t="s">
        <v>1091</v>
      </c>
      <c r="F1248" t="s">
        <v>1039</v>
      </c>
    </row>
    <row r="1249" spans="1:6" x14ac:dyDescent="0.25">
      <c r="A1249" t="str">
        <f>"09014489"</f>
        <v>09014489</v>
      </c>
      <c r="B1249" t="s">
        <v>1367</v>
      </c>
      <c r="C1249" t="s">
        <v>7</v>
      </c>
      <c r="D1249" t="str">
        <f t="shared" si="52"/>
        <v>563510</v>
      </c>
      <c r="E1249" t="s">
        <v>1091</v>
      </c>
      <c r="F1249" t="s">
        <v>13</v>
      </c>
    </row>
    <row r="1250" spans="1:6" x14ac:dyDescent="0.25">
      <c r="A1250" t="str">
        <f>"71443584"</f>
        <v>71443584</v>
      </c>
      <c r="B1250" t="s">
        <v>1368</v>
      </c>
      <c r="C1250" t="s">
        <v>1038</v>
      </c>
      <c r="D1250" t="str">
        <f t="shared" si="52"/>
        <v>563510</v>
      </c>
      <c r="E1250" t="s">
        <v>1091</v>
      </c>
      <c r="F1250" t="s">
        <v>1039</v>
      </c>
    </row>
    <row r="1251" spans="1:6" x14ac:dyDescent="0.25">
      <c r="A1251" t="str">
        <f>"22693653"</f>
        <v>22693653</v>
      </c>
      <c r="B1251" t="s">
        <v>1369</v>
      </c>
      <c r="C1251" t="s">
        <v>7</v>
      </c>
      <c r="D1251" t="str">
        <f t="shared" si="52"/>
        <v>563510</v>
      </c>
      <c r="E1251" t="s">
        <v>1091</v>
      </c>
      <c r="F1251" t="s">
        <v>11</v>
      </c>
    </row>
    <row r="1252" spans="1:6" x14ac:dyDescent="0.25">
      <c r="A1252" t="str">
        <f>"22721673"</f>
        <v>22721673</v>
      </c>
      <c r="B1252" t="s">
        <v>1370</v>
      </c>
      <c r="C1252" t="s">
        <v>7</v>
      </c>
      <c r="D1252" t="str">
        <f t="shared" si="52"/>
        <v>563510</v>
      </c>
      <c r="E1252" t="s">
        <v>1091</v>
      </c>
      <c r="F1252" t="s">
        <v>9</v>
      </c>
    </row>
    <row r="1253" spans="1:6" x14ac:dyDescent="0.25">
      <c r="A1253" t="str">
        <f>"26622866"</f>
        <v>26622866</v>
      </c>
      <c r="B1253" t="s">
        <v>1371</v>
      </c>
      <c r="C1253" t="s">
        <v>7</v>
      </c>
      <c r="D1253" t="str">
        <f t="shared" si="52"/>
        <v>563510</v>
      </c>
      <c r="E1253" t="s">
        <v>1091</v>
      </c>
      <c r="F1253" t="s">
        <v>11</v>
      </c>
    </row>
    <row r="1254" spans="1:6" x14ac:dyDescent="0.25">
      <c r="A1254" t="str">
        <f>"26622637"</f>
        <v>26622637</v>
      </c>
      <c r="B1254" t="s">
        <v>1372</v>
      </c>
      <c r="C1254" t="s">
        <v>7</v>
      </c>
      <c r="D1254" t="str">
        <f t="shared" si="52"/>
        <v>563510</v>
      </c>
      <c r="E1254" t="s">
        <v>1091</v>
      </c>
      <c r="F1254" t="s">
        <v>11</v>
      </c>
    </row>
    <row r="1255" spans="1:6" x14ac:dyDescent="0.25">
      <c r="A1255" t="str">
        <f>"01629379"</f>
        <v>01629379</v>
      </c>
      <c r="B1255" t="s">
        <v>1373</v>
      </c>
      <c r="C1255" t="s">
        <v>7</v>
      </c>
      <c r="D1255" t="str">
        <f t="shared" si="52"/>
        <v>563510</v>
      </c>
      <c r="E1255" t="s">
        <v>1091</v>
      </c>
      <c r="F1255" t="s">
        <v>35</v>
      </c>
    </row>
    <row r="1256" spans="1:6" x14ac:dyDescent="0.25">
      <c r="A1256" t="str">
        <f>"70850305"</f>
        <v>70850305</v>
      </c>
      <c r="B1256" t="s">
        <v>1374</v>
      </c>
      <c r="C1256" t="s">
        <v>7</v>
      </c>
      <c r="D1256" t="str">
        <f t="shared" si="52"/>
        <v>563510</v>
      </c>
      <c r="E1256" t="s">
        <v>1091</v>
      </c>
      <c r="F1256" t="s">
        <v>11</v>
      </c>
    </row>
    <row r="1257" spans="1:6" x14ac:dyDescent="0.25">
      <c r="A1257" t="str">
        <f>"22845241"</f>
        <v>22845241</v>
      </c>
      <c r="B1257" t="s">
        <v>1375</v>
      </c>
      <c r="C1257" t="s">
        <v>7</v>
      </c>
      <c r="D1257" t="str">
        <f t="shared" si="52"/>
        <v>563510</v>
      </c>
      <c r="E1257" t="s">
        <v>1091</v>
      </c>
      <c r="F1257" t="s">
        <v>11</v>
      </c>
    </row>
    <row r="1258" spans="1:6" x14ac:dyDescent="0.25">
      <c r="A1258" t="str">
        <f>"69388300"</f>
        <v>69388300</v>
      </c>
      <c r="B1258" t="s">
        <v>1376</v>
      </c>
      <c r="C1258" t="s">
        <v>7</v>
      </c>
      <c r="D1258" t="str">
        <f t="shared" si="52"/>
        <v>563510</v>
      </c>
      <c r="E1258" t="s">
        <v>1091</v>
      </c>
      <c r="F1258" t="s">
        <v>11</v>
      </c>
    </row>
    <row r="1259" spans="1:6" x14ac:dyDescent="0.25">
      <c r="A1259" t="str">
        <f>"69410763"</f>
        <v>69410763</v>
      </c>
      <c r="B1259" t="s">
        <v>1377</v>
      </c>
      <c r="C1259" t="s">
        <v>7</v>
      </c>
      <c r="D1259" t="str">
        <f t="shared" si="52"/>
        <v>563510</v>
      </c>
      <c r="E1259" t="s">
        <v>1091</v>
      </c>
      <c r="F1259" t="s">
        <v>11</v>
      </c>
    </row>
    <row r="1260" spans="1:6" x14ac:dyDescent="0.25">
      <c r="A1260" t="str">
        <f>"02497336"</f>
        <v>02497336</v>
      </c>
      <c r="B1260" t="s">
        <v>1378</v>
      </c>
      <c r="C1260" t="s">
        <v>7</v>
      </c>
      <c r="D1260" t="str">
        <f t="shared" si="52"/>
        <v>563510</v>
      </c>
      <c r="E1260" t="s">
        <v>1091</v>
      </c>
      <c r="F1260" t="s">
        <v>11</v>
      </c>
    </row>
    <row r="1261" spans="1:6" x14ac:dyDescent="0.25">
      <c r="A1261" t="str">
        <f>"26653851"</f>
        <v>26653851</v>
      </c>
      <c r="B1261" t="s">
        <v>1379</v>
      </c>
      <c r="C1261" t="s">
        <v>7</v>
      </c>
      <c r="D1261" t="str">
        <f t="shared" si="52"/>
        <v>563510</v>
      </c>
      <c r="E1261" t="s">
        <v>1091</v>
      </c>
      <c r="F1261" t="s">
        <v>11</v>
      </c>
    </row>
    <row r="1262" spans="1:6" x14ac:dyDescent="0.25">
      <c r="A1262" t="str">
        <f>"26996111"</f>
        <v>26996111</v>
      </c>
      <c r="B1262" t="s">
        <v>1380</v>
      </c>
      <c r="C1262" t="s">
        <v>7</v>
      </c>
      <c r="D1262" t="str">
        <f t="shared" si="52"/>
        <v>563510</v>
      </c>
      <c r="E1262" t="s">
        <v>1091</v>
      </c>
      <c r="F1262" t="s">
        <v>11</v>
      </c>
    </row>
    <row r="1263" spans="1:6" x14ac:dyDescent="0.25">
      <c r="A1263" t="str">
        <f>"26614243"</f>
        <v>26614243</v>
      </c>
      <c r="B1263" t="s">
        <v>1381</v>
      </c>
      <c r="C1263" t="s">
        <v>7</v>
      </c>
      <c r="D1263" t="str">
        <f t="shared" si="52"/>
        <v>563510</v>
      </c>
      <c r="E1263" t="s">
        <v>1091</v>
      </c>
      <c r="F1263" t="s">
        <v>11</v>
      </c>
    </row>
    <row r="1264" spans="1:6" x14ac:dyDescent="0.25">
      <c r="A1264" t="str">
        <f>"22769218"</f>
        <v>22769218</v>
      </c>
      <c r="B1264" t="s">
        <v>1382</v>
      </c>
      <c r="C1264" t="s">
        <v>7</v>
      </c>
      <c r="D1264" t="str">
        <f t="shared" si="52"/>
        <v>563510</v>
      </c>
      <c r="E1264" t="s">
        <v>1091</v>
      </c>
      <c r="F1264" t="s">
        <v>328</v>
      </c>
    </row>
    <row r="1265" spans="1:6" x14ac:dyDescent="0.25">
      <c r="A1265" t="str">
        <f>"22864237"</f>
        <v>22864237</v>
      </c>
      <c r="B1265" t="s">
        <v>1383</v>
      </c>
      <c r="C1265" t="s">
        <v>7</v>
      </c>
      <c r="D1265" t="str">
        <f t="shared" si="52"/>
        <v>563510</v>
      </c>
      <c r="E1265" t="s">
        <v>1091</v>
      </c>
      <c r="F1265" t="s">
        <v>389</v>
      </c>
    </row>
    <row r="1266" spans="1:6" x14ac:dyDescent="0.25">
      <c r="A1266" t="str">
        <f>"25400355"</f>
        <v>25400355</v>
      </c>
      <c r="B1266" t="s">
        <v>1384</v>
      </c>
      <c r="C1266" t="s">
        <v>78</v>
      </c>
      <c r="D1266" t="str">
        <f t="shared" si="52"/>
        <v>563510</v>
      </c>
      <c r="E1266" t="s">
        <v>1091</v>
      </c>
      <c r="F1266" t="s">
        <v>865</v>
      </c>
    </row>
    <row r="1267" spans="1:6" x14ac:dyDescent="0.25">
      <c r="A1267" t="str">
        <f>"00426083"</f>
        <v>00426083</v>
      </c>
      <c r="B1267" t="s">
        <v>1385</v>
      </c>
      <c r="C1267" t="s">
        <v>15</v>
      </c>
      <c r="D1267" t="str">
        <f t="shared" si="52"/>
        <v>563510</v>
      </c>
      <c r="E1267" t="s">
        <v>1091</v>
      </c>
      <c r="F1267" t="s">
        <v>1386</v>
      </c>
    </row>
    <row r="1268" spans="1:6" x14ac:dyDescent="0.25">
      <c r="A1268" t="str">
        <f>"07673060"</f>
        <v>07673060</v>
      </c>
      <c r="B1268" t="s">
        <v>1387</v>
      </c>
      <c r="C1268" t="s">
        <v>7</v>
      </c>
      <c r="D1268" t="str">
        <f t="shared" si="52"/>
        <v>563510</v>
      </c>
      <c r="E1268" t="s">
        <v>1091</v>
      </c>
      <c r="F1268" t="s">
        <v>11</v>
      </c>
    </row>
    <row r="1269" spans="1:6" x14ac:dyDescent="0.25">
      <c r="A1269" t="str">
        <f>"70229619"</f>
        <v>70229619</v>
      </c>
      <c r="B1269" t="s">
        <v>1388</v>
      </c>
      <c r="C1269" t="s">
        <v>43</v>
      </c>
      <c r="D1269" t="str">
        <f t="shared" si="52"/>
        <v>563510</v>
      </c>
      <c r="E1269" t="s">
        <v>1091</v>
      </c>
      <c r="F1269" t="s">
        <v>44</v>
      </c>
    </row>
    <row r="1270" spans="1:6" x14ac:dyDescent="0.25">
      <c r="A1270" t="str">
        <f>"43256104"</f>
        <v>43256104</v>
      </c>
      <c r="B1270" t="s">
        <v>1389</v>
      </c>
      <c r="C1270" t="s">
        <v>20</v>
      </c>
      <c r="D1270" t="str">
        <f t="shared" si="52"/>
        <v>563510</v>
      </c>
      <c r="E1270" t="s">
        <v>1091</v>
      </c>
      <c r="F1270" t="s">
        <v>21</v>
      </c>
    </row>
    <row r="1271" spans="1:6" x14ac:dyDescent="0.25">
      <c r="A1271" t="str">
        <f>"04288238"</f>
        <v>04288238</v>
      </c>
      <c r="B1271" t="s">
        <v>1390</v>
      </c>
      <c r="C1271" t="s">
        <v>20</v>
      </c>
      <c r="D1271" t="str">
        <f t="shared" si="52"/>
        <v>563510</v>
      </c>
      <c r="E1271" t="s">
        <v>1091</v>
      </c>
      <c r="F1271" t="s">
        <v>21</v>
      </c>
    </row>
    <row r="1272" spans="1:6" x14ac:dyDescent="0.25">
      <c r="A1272" t="str">
        <f>"65733037"</f>
        <v>65733037</v>
      </c>
      <c r="B1272" t="s">
        <v>1391</v>
      </c>
      <c r="C1272" t="s">
        <v>20</v>
      </c>
      <c r="D1272" t="str">
        <f t="shared" si="52"/>
        <v>563510</v>
      </c>
      <c r="E1272" t="s">
        <v>1091</v>
      </c>
      <c r="F1272" t="s">
        <v>21</v>
      </c>
    </row>
    <row r="1273" spans="1:6" x14ac:dyDescent="0.25">
      <c r="A1273" t="str">
        <f>"22225781"</f>
        <v>22225781</v>
      </c>
      <c r="B1273" t="s">
        <v>1392</v>
      </c>
      <c r="C1273" t="s">
        <v>20</v>
      </c>
      <c r="D1273" t="str">
        <f t="shared" si="52"/>
        <v>563510</v>
      </c>
      <c r="E1273" t="s">
        <v>1091</v>
      </c>
      <c r="F1273" t="s">
        <v>21</v>
      </c>
    </row>
    <row r="1274" spans="1:6" x14ac:dyDescent="0.25">
      <c r="A1274" t="str">
        <f>"60253851"</f>
        <v>60253851</v>
      </c>
      <c r="B1274" t="s">
        <v>1393</v>
      </c>
      <c r="C1274" t="s">
        <v>20</v>
      </c>
      <c r="D1274" t="str">
        <f t="shared" si="52"/>
        <v>563510</v>
      </c>
      <c r="E1274" t="s">
        <v>1091</v>
      </c>
      <c r="F1274" t="s">
        <v>21</v>
      </c>
    </row>
    <row r="1275" spans="1:6" x14ac:dyDescent="0.25">
      <c r="A1275" t="str">
        <f>"64669581"</f>
        <v>64669581</v>
      </c>
      <c r="B1275" t="s">
        <v>1394</v>
      </c>
      <c r="C1275" t="s">
        <v>20</v>
      </c>
      <c r="D1275" t="str">
        <f t="shared" si="52"/>
        <v>563510</v>
      </c>
      <c r="E1275" t="s">
        <v>1091</v>
      </c>
      <c r="F1275" t="s">
        <v>21</v>
      </c>
    </row>
    <row r="1276" spans="1:6" x14ac:dyDescent="0.25">
      <c r="A1276" t="str">
        <f>"14869802"</f>
        <v>14869802</v>
      </c>
      <c r="B1276" t="s">
        <v>1395</v>
      </c>
      <c r="C1276" t="s">
        <v>20</v>
      </c>
      <c r="D1276" t="str">
        <f t="shared" si="52"/>
        <v>563510</v>
      </c>
      <c r="E1276" t="s">
        <v>1091</v>
      </c>
      <c r="F1276" t="s">
        <v>21</v>
      </c>
    </row>
    <row r="1277" spans="1:6" x14ac:dyDescent="0.25">
      <c r="A1277" t="str">
        <f>"60254068"</f>
        <v>60254068</v>
      </c>
      <c r="B1277" t="s">
        <v>1396</v>
      </c>
      <c r="C1277" t="s">
        <v>20</v>
      </c>
      <c r="D1277" t="str">
        <f t="shared" si="52"/>
        <v>563510</v>
      </c>
      <c r="E1277" t="s">
        <v>1091</v>
      </c>
      <c r="F1277" t="s">
        <v>21</v>
      </c>
    </row>
    <row r="1278" spans="1:6" x14ac:dyDescent="0.25">
      <c r="A1278" t="str">
        <f>"43257429"</f>
        <v>43257429</v>
      </c>
      <c r="B1278" t="s">
        <v>1397</v>
      </c>
      <c r="C1278" t="s">
        <v>20</v>
      </c>
      <c r="D1278" t="str">
        <f t="shared" si="52"/>
        <v>563510</v>
      </c>
      <c r="E1278" t="s">
        <v>1091</v>
      </c>
      <c r="F1278" t="s">
        <v>21</v>
      </c>
    </row>
    <row r="1279" spans="1:6" x14ac:dyDescent="0.25">
      <c r="A1279" t="str">
        <f>"72072610"</f>
        <v>72072610</v>
      </c>
      <c r="B1279" t="s">
        <v>1398</v>
      </c>
      <c r="C1279" t="s">
        <v>20</v>
      </c>
      <c r="D1279" t="str">
        <f t="shared" si="52"/>
        <v>563510</v>
      </c>
      <c r="E1279" t="s">
        <v>1091</v>
      </c>
      <c r="F1279" t="s">
        <v>21</v>
      </c>
    </row>
    <row r="1280" spans="1:6" x14ac:dyDescent="0.25">
      <c r="A1280" t="str">
        <f>"60252332"</f>
        <v>60252332</v>
      </c>
      <c r="B1280" t="s">
        <v>1399</v>
      </c>
      <c r="C1280" t="s">
        <v>20</v>
      </c>
      <c r="D1280" t="str">
        <f t="shared" si="52"/>
        <v>563510</v>
      </c>
      <c r="E1280" t="s">
        <v>1091</v>
      </c>
      <c r="F1280" t="s">
        <v>21</v>
      </c>
    </row>
    <row r="1281" spans="1:6" x14ac:dyDescent="0.25">
      <c r="A1281" t="str">
        <f>"70229783"</f>
        <v>70229783</v>
      </c>
      <c r="B1281" t="s">
        <v>1400</v>
      </c>
      <c r="C1281" t="s">
        <v>7</v>
      </c>
      <c r="D1281" t="str">
        <f t="shared" si="52"/>
        <v>563510</v>
      </c>
      <c r="E1281" t="s">
        <v>1091</v>
      </c>
      <c r="F1281" t="s">
        <v>29</v>
      </c>
    </row>
    <row r="1282" spans="1:6" x14ac:dyDescent="0.25">
      <c r="A1282" t="str">
        <f>"08621021"</f>
        <v>08621021</v>
      </c>
      <c r="B1282" t="s">
        <v>1401</v>
      </c>
      <c r="C1282" t="s">
        <v>7</v>
      </c>
      <c r="D1282" t="str">
        <f t="shared" si="52"/>
        <v>563510</v>
      </c>
      <c r="E1282" t="s">
        <v>1091</v>
      </c>
      <c r="F1282" t="s">
        <v>29</v>
      </c>
    </row>
    <row r="1283" spans="1:6" x14ac:dyDescent="0.25">
      <c r="A1283" t="str">
        <f>"22865811"</f>
        <v>22865811</v>
      </c>
      <c r="B1283" t="s">
        <v>1402</v>
      </c>
      <c r="C1283" t="s">
        <v>7</v>
      </c>
      <c r="D1283" t="str">
        <f t="shared" si="52"/>
        <v>563510</v>
      </c>
      <c r="E1283" t="s">
        <v>1091</v>
      </c>
      <c r="F1283" t="s">
        <v>11</v>
      </c>
    </row>
    <row r="1284" spans="1:6" x14ac:dyDescent="0.25">
      <c r="A1284" t="str">
        <f>"22879951"</f>
        <v>22879951</v>
      </c>
      <c r="B1284" t="s">
        <v>1403</v>
      </c>
      <c r="C1284" t="s">
        <v>15</v>
      </c>
      <c r="D1284" t="str">
        <f t="shared" si="52"/>
        <v>563510</v>
      </c>
      <c r="E1284" t="s">
        <v>1091</v>
      </c>
      <c r="F1284" t="s">
        <v>9</v>
      </c>
    </row>
    <row r="1285" spans="1:6" x14ac:dyDescent="0.25">
      <c r="A1285" t="str">
        <f>"68298056"</f>
        <v>68298056</v>
      </c>
      <c r="B1285" t="s">
        <v>1404</v>
      </c>
      <c r="C1285" t="s">
        <v>7</v>
      </c>
      <c r="D1285" t="str">
        <f t="shared" si="52"/>
        <v>563510</v>
      </c>
      <c r="E1285" t="s">
        <v>1091</v>
      </c>
      <c r="F1285" t="s">
        <v>65</v>
      </c>
    </row>
    <row r="1286" spans="1:6" x14ac:dyDescent="0.25">
      <c r="A1286" t="str">
        <f>"72540451"</f>
        <v>72540451</v>
      </c>
      <c r="B1286" t="s">
        <v>1405</v>
      </c>
      <c r="C1286" t="s">
        <v>15</v>
      </c>
      <c r="D1286" t="str">
        <f t="shared" si="52"/>
        <v>563510</v>
      </c>
      <c r="E1286" t="s">
        <v>1091</v>
      </c>
      <c r="F1286" t="s">
        <v>9</v>
      </c>
    </row>
    <row r="1287" spans="1:6" x14ac:dyDescent="0.25">
      <c r="A1287" t="str">
        <f>"70953376"</f>
        <v>70953376</v>
      </c>
      <c r="B1287" t="s">
        <v>1406</v>
      </c>
      <c r="C1287" t="s">
        <v>15</v>
      </c>
      <c r="D1287" t="str">
        <f t="shared" si="52"/>
        <v>563510</v>
      </c>
      <c r="E1287" t="s">
        <v>1091</v>
      </c>
      <c r="F1287" t="s">
        <v>65</v>
      </c>
    </row>
    <row r="1288" spans="1:6" x14ac:dyDescent="0.25">
      <c r="A1288" t="str">
        <f>"60252278"</f>
        <v>60252278</v>
      </c>
      <c r="B1288" t="s">
        <v>1407</v>
      </c>
      <c r="C1288" t="s">
        <v>726</v>
      </c>
      <c r="D1288" t="str">
        <f t="shared" si="52"/>
        <v>563510</v>
      </c>
      <c r="E1288" t="s">
        <v>1091</v>
      </c>
      <c r="F1288" t="s">
        <v>9</v>
      </c>
    </row>
    <row r="1289" spans="1:6" x14ac:dyDescent="0.25">
      <c r="A1289" t="str">
        <f>"02761360"</f>
        <v>02761360</v>
      </c>
      <c r="B1289" t="s">
        <v>1408</v>
      </c>
      <c r="C1289" t="s">
        <v>7</v>
      </c>
      <c r="D1289" t="str">
        <f t="shared" si="52"/>
        <v>563510</v>
      </c>
      <c r="E1289" t="s">
        <v>1091</v>
      </c>
      <c r="F1289" t="s">
        <v>11</v>
      </c>
    </row>
    <row r="1290" spans="1:6" x14ac:dyDescent="0.25">
      <c r="A1290" t="str">
        <f>"07792051"</f>
        <v>07792051</v>
      </c>
      <c r="B1290" t="s">
        <v>1409</v>
      </c>
      <c r="C1290" t="s">
        <v>27</v>
      </c>
      <c r="D1290" t="str">
        <f t="shared" si="52"/>
        <v>563510</v>
      </c>
      <c r="E1290" t="s">
        <v>1091</v>
      </c>
      <c r="F1290" t="s">
        <v>139</v>
      </c>
    </row>
    <row r="1291" spans="1:6" x14ac:dyDescent="0.25">
      <c r="A1291" t="str">
        <f>"22662651"</f>
        <v>22662651</v>
      </c>
      <c r="B1291" t="s">
        <v>1410</v>
      </c>
      <c r="C1291" t="s">
        <v>7</v>
      </c>
      <c r="D1291" t="str">
        <f t="shared" si="52"/>
        <v>563510</v>
      </c>
      <c r="E1291" t="s">
        <v>1091</v>
      </c>
      <c r="F1291" t="s">
        <v>11</v>
      </c>
    </row>
    <row r="1292" spans="1:6" x14ac:dyDescent="0.25">
      <c r="A1292" t="str">
        <f>"68298048"</f>
        <v>68298048</v>
      </c>
      <c r="B1292" t="s">
        <v>1411</v>
      </c>
      <c r="C1292" t="s">
        <v>7</v>
      </c>
      <c r="D1292" t="str">
        <f t="shared" si="52"/>
        <v>563510</v>
      </c>
      <c r="E1292" t="s">
        <v>1091</v>
      </c>
      <c r="F1292" t="s">
        <v>11</v>
      </c>
    </row>
    <row r="1293" spans="1:6" x14ac:dyDescent="0.25">
      <c r="A1293" t="str">
        <f>"27040046"</f>
        <v>27040046</v>
      </c>
      <c r="B1293" t="s">
        <v>1412</v>
      </c>
      <c r="C1293" t="s">
        <v>7</v>
      </c>
      <c r="D1293" t="str">
        <f t="shared" si="52"/>
        <v>563510</v>
      </c>
      <c r="E1293" t="s">
        <v>1091</v>
      </c>
      <c r="F1293" t="s">
        <v>9</v>
      </c>
    </row>
    <row r="1294" spans="1:6" x14ac:dyDescent="0.25">
      <c r="A1294" t="str">
        <f>"26589095"</f>
        <v>26589095</v>
      </c>
      <c r="B1294" t="s">
        <v>1413</v>
      </c>
      <c r="C1294" t="s">
        <v>7</v>
      </c>
      <c r="D1294" t="str">
        <f t="shared" si="52"/>
        <v>563510</v>
      </c>
      <c r="E1294" t="s">
        <v>1091</v>
      </c>
      <c r="F1294" t="s">
        <v>139</v>
      </c>
    </row>
    <row r="1295" spans="1:6" x14ac:dyDescent="0.25">
      <c r="A1295" t="str">
        <f>"19370555"</f>
        <v>19370555</v>
      </c>
      <c r="B1295" t="s">
        <v>1414</v>
      </c>
      <c r="C1295" t="s">
        <v>7</v>
      </c>
      <c r="D1295" t="str">
        <f t="shared" si="52"/>
        <v>563510</v>
      </c>
      <c r="E1295" t="s">
        <v>1091</v>
      </c>
      <c r="F1295" t="s">
        <v>29</v>
      </c>
    </row>
    <row r="1296" spans="1:6" x14ac:dyDescent="0.25">
      <c r="A1296" t="str">
        <f>"16389620"</f>
        <v>16389620</v>
      </c>
      <c r="B1296" t="s">
        <v>1415</v>
      </c>
      <c r="C1296" t="s">
        <v>7</v>
      </c>
      <c r="D1296" t="str">
        <f t="shared" si="52"/>
        <v>563510</v>
      </c>
      <c r="E1296" t="s">
        <v>1091</v>
      </c>
      <c r="F1296" t="s">
        <v>21</v>
      </c>
    </row>
    <row r="1297" spans="1:6" x14ac:dyDescent="0.25">
      <c r="A1297" t="str">
        <f>"70844143"</f>
        <v>70844143</v>
      </c>
      <c r="B1297" t="s">
        <v>1416</v>
      </c>
      <c r="C1297" t="s">
        <v>15</v>
      </c>
      <c r="D1297" t="str">
        <f t="shared" si="52"/>
        <v>563510</v>
      </c>
      <c r="E1297" t="s">
        <v>1091</v>
      </c>
      <c r="F1297" t="s">
        <v>139</v>
      </c>
    </row>
    <row r="1298" spans="1:6" x14ac:dyDescent="0.25">
      <c r="A1298" t="str">
        <f>"68974698"</f>
        <v>68974698</v>
      </c>
      <c r="B1298" t="s">
        <v>1417</v>
      </c>
      <c r="C1298" t="s">
        <v>15</v>
      </c>
      <c r="D1298" t="str">
        <f t="shared" ref="D1298:D1361" si="53">"563510"</f>
        <v>563510</v>
      </c>
      <c r="E1298" t="s">
        <v>1091</v>
      </c>
      <c r="F1298" t="s">
        <v>139</v>
      </c>
    </row>
    <row r="1299" spans="1:6" x14ac:dyDescent="0.25">
      <c r="A1299" t="str">
        <f>"68974701"</f>
        <v>68974701</v>
      </c>
      <c r="B1299" t="s">
        <v>1418</v>
      </c>
      <c r="C1299" t="s">
        <v>15</v>
      </c>
      <c r="D1299" t="str">
        <f t="shared" si="53"/>
        <v>563510</v>
      </c>
      <c r="E1299" t="s">
        <v>1091</v>
      </c>
      <c r="F1299" t="s">
        <v>139</v>
      </c>
    </row>
    <row r="1300" spans="1:6" x14ac:dyDescent="0.25">
      <c r="A1300" t="str">
        <f>"02231948"</f>
        <v>02231948</v>
      </c>
      <c r="B1300" t="s">
        <v>1419</v>
      </c>
      <c r="C1300" t="s">
        <v>7</v>
      </c>
      <c r="D1300" t="str">
        <f t="shared" si="53"/>
        <v>563510</v>
      </c>
      <c r="E1300" t="s">
        <v>1091</v>
      </c>
      <c r="F1300" t="s">
        <v>11</v>
      </c>
    </row>
    <row r="1301" spans="1:6" x14ac:dyDescent="0.25">
      <c r="A1301" t="str">
        <f>"22214704"</f>
        <v>22214704</v>
      </c>
      <c r="B1301" t="s">
        <v>1420</v>
      </c>
      <c r="C1301" t="s">
        <v>7</v>
      </c>
      <c r="D1301" t="str">
        <f t="shared" si="53"/>
        <v>563510</v>
      </c>
      <c r="E1301" t="s">
        <v>1091</v>
      </c>
      <c r="F1301" t="s">
        <v>11</v>
      </c>
    </row>
    <row r="1302" spans="1:6" x14ac:dyDescent="0.25">
      <c r="A1302" t="str">
        <f>"03651746"</f>
        <v>03651746</v>
      </c>
      <c r="B1302" t="s">
        <v>1421</v>
      </c>
      <c r="C1302" t="s">
        <v>7</v>
      </c>
      <c r="D1302" t="str">
        <f t="shared" si="53"/>
        <v>563510</v>
      </c>
      <c r="E1302" t="s">
        <v>1091</v>
      </c>
      <c r="F1302" t="s">
        <v>62</v>
      </c>
    </row>
    <row r="1303" spans="1:6" x14ac:dyDescent="0.25">
      <c r="A1303" t="str">
        <f>"22733779"</f>
        <v>22733779</v>
      </c>
      <c r="B1303" t="s">
        <v>1422</v>
      </c>
      <c r="C1303" t="s">
        <v>7</v>
      </c>
      <c r="D1303" t="str">
        <f t="shared" si="53"/>
        <v>563510</v>
      </c>
      <c r="E1303" t="s">
        <v>1091</v>
      </c>
      <c r="F1303" t="s">
        <v>9</v>
      </c>
    </row>
    <row r="1304" spans="1:6" x14ac:dyDescent="0.25">
      <c r="A1304" t="str">
        <f>"02386143"</f>
        <v>02386143</v>
      </c>
      <c r="B1304" t="s">
        <v>1423</v>
      </c>
      <c r="C1304" t="s">
        <v>7</v>
      </c>
      <c r="D1304" t="str">
        <f t="shared" si="53"/>
        <v>563510</v>
      </c>
      <c r="E1304" t="s">
        <v>1091</v>
      </c>
      <c r="F1304" t="s">
        <v>11</v>
      </c>
    </row>
    <row r="1305" spans="1:6" x14ac:dyDescent="0.25">
      <c r="A1305" t="str">
        <f>"68974841"</f>
        <v>68974841</v>
      </c>
      <c r="B1305" t="s">
        <v>1424</v>
      </c>
      <c r="C1305" t="s">
        <v>7</v>
      </c>
      <c r="D1305" t="str">
        <f t="shared" si="53"/>
        <v>563510</v>
      </c>
      <c r="E1305" t="s">
        <v>1091</v>
      </c>
      <c r="F1305" t="s">
        <v>11</v>
      </c>
    </row>
    <row r="1306" spans="1:6" x14ac:dyDescent="0.25">
      <c r="A1306" t="str">
        <f>"07003838"</f>
        <v>07003838</v>
      </c>
      <c r="B1306" t="s">
        <v>1425</v>
      </c>
      <c r="C1306" t="s">
        <v>7</v>
      </c>
      <c r="D1306" t="str">
        <f t="shared" si="53"/>
        <v>563510</v>
      </c>
      <c r="E1306" t="s">
        <v>1091</v>
      </c>
      <c r="F1306" t="s">
        <v>11</v>
      </c>
    </row>
    <row r="1307" spans="1:6" x14ac:dyDescent="0.25">
      <c r="A1307" t="str">
        <f>"73635626"</f>
        <v>73635626</v>
      </c>
      <c r="B1307" t="s">
        <v>1426</v>
      </c>
      <c r="C1307" t="s">
        <v>43</v>
      </c>
      <c r="D1307" t="str">
        <f t="shared" si="53"/>
        <v>563510</v>
      </c>
      <c r="E1307" t="s">
        <v>1091</v>
      </c>
      <c r="F1307" t="s">
        <v>44</v>
      </c>
    </row>
    <row r="1308" spans="1:6" x14ac:dyDescent="0.25">
      <c r="A1308" t="str">
        <f>"19537221"</f>
        <v>19537221</v>
      </c>
      <c r="B1308" t="s">
        <v>1427</v>
      </c>
      <c r="C1308" t="s">
        <v>7</v>
      </c>
      <c r="D1308" t="str">
        <f t="shared" si="53"/>
        <v>563510</v>
      </c>
      <c r="E1308" t="s">
        <v>1091</v>
      </c>
      <c r="F1308" t="s">
        <v>11</v>
      </c>
    </row>
    <row r="1309" spans="1:6" x14ac:dyDescent="0.25">
      <c r="A1309" t="str">
        <f>"65081889"</f>
        <v>65081889</v>
      </c>
      <c r="B1309" t="s">
        <v>1428</v>
      </c>
      <c r="C1309" t="s">
        <v>7</v>
      </c>
      <c r="D1309" t="str">
        <f t="shared" si="53"/>
        <v>563510</v>
      </c>
      <c r="E1309" t="s">
        <v>1091</v>
      </c>
      <c r="F1309" t="s">
        <v>11</v>
      </c>
    </row>
    <row r="1310" spans="1:6" x14ac:dyDescent="0.25">
      <c r="A1310" t="str">
        <f>"09945628"</f>
        <v>09945628</v>
      </c>
      <c r="B1310" t="s">
        <v>1429</v>
      </c>
      <c r="C1310" t="s">
        <v>7</v>
      </c>
      <c r="D1310" t="str">
        <f t="shared" si="53"/>
        <v>563510</v>
      </c>
      <c r="E1310" t="s">
        <v>1091</v>
      </c>
      <c r="F1310" t="s">
        <v>13</v>
      </c>
    </row>
    <row r="1311" spans="1:6" x14ac:dyDescent="0.25">
      <c r="A1311" t="str">
        <f>"22733019"</f>
        <v>22733019</v>
      </c>
      <c r="B1311" t="s">
        <v>1430</v>
      </c>
      <c r="C1311" t="s">
        <v>7</v>
      </c>
      <c r="D1311" t="str">
        <f t="shared" si="53"/>
        <v>563510</v>
      </c>
      <c r="E1311" t="s">
        <v>1091</v>
      </c>
      <c r="F1311" t="s">
        <v>18</v>
      </c>
    </row>
    <row r="1312" spans="1:6" x14ac:dyDescent="0.25">
      <c r="A1312" t="str">
        <f>"26989565"</f>
        <v>26989565</v>
      </c>
      <c r="B1312" t="s">
        <v>1431</v>
      </c>
      <c r="C1312" t="s">
        <v>7</v>
      </c>
      <c r="D1312" t="str">
        <f t="shared" si="53"/>
        <v>563510</v>
      </c>
      <c r="E1312" t="s">
        <v>1091</v>
      </c>
      <c r="F1312" t="s">
        <v>11</v>
      </c>
    </row>
    <row r="1313" spans="1:6" x14ac:dyDescent="0.25">
      <c r="A1313" t="str">
        <f>"14023245"</f>
        <v>14023245</v>
      </c>
      <c r="B1313" t="s">
        <v>1432</v>
      </c>
      <c r="C1313" t="s">
        <v>7</v>
      </c>
      <c r="D1313" t="str">
        <f t="shared" si="53"/>
        <v>563510</v>
      </c>
      <c r="E1313" t="s">
        <v>1091</v>
      </c>
      <c r="F1313" t="s">
        <v>11</v>
      </c>
    </row>
    <row r="1314" spans="1:6" x14ac:dyDescent="0.25">
      <c r="A1314" t="str">
        <f>"60253045"</f>
        <v>60253045</v>
      </c>
      <c r="B1314" t="s">
        <v>1433</v>
      </c>
      <c r="C1314" t="s">
        <v>7</v>
      </c>
      <c r="D1314" t="str">
        <f t="shared" si="53"/>
        <v>563510</v>
      </c>
      <c r="E1314" t="s">
        <v>1091</v>
      </c>
      <c r="F1314" t="s">
        <v>11</v>
      </c>
    </row>
    <row r="1315" spans="1:6" x14ac:dyDescent="0.25">
      <c r="A1315" t="str">
        <f>"22692606"</f>
        <v>22692606</v>
      </c>
      <c r="B1315" t="s">
        <v>1434</v>
      </c>
      <c r="C1315" t="s">
        <v>7</v>
      </c>
      <c r="D1315" t="str">
        <f t="shared" si="53"/>
        <v>563510</v>
      </c>
      <c r="E1315" t="s">
        <v>1091</v>
      </c>
      <c r="F1315" t="s">
        <v>11</v>
      </c>
    </row>
    <row r="1316" spans="1:6" x14ac:dyDescent="0.25">
      <c r="A1316" t="str">
        <f>"08592489"</f>
        <v>08592489</v>
      </c>
      <c r="B1316" t="s">
        <v>1435</v>
      </c>
      <c r="C1316" t="s">
        <v>7</v>
      </c>
      <c r="D1316" t="str">
        <f t="shared" si="53"/>
        <v>563510</v>
      </c>
      <c r="E1316" t="s">
        <v>1091</v>
      </c>
      <c r="F1316" t="s">
        <v>62</v>
      </c>
    </row>
    <row r="1317" spans="1:6" x14ac:dyDescent="0.25">
      <c r="A1317" t="str">
        <f>"22884157"</f>
        <v>22884157</v>
      </c>
      <c r="B1317" t="s">
        <v>1436</v>
      </c>
      <c r="C1317" t="s">
        <v>7</v>
      </c>
      <c r="D1317" t="str">
        <f t="shared" si="53"/>
        <v>563510</v>
      </c>
      <c r="E1317" t="s">
        <v>1091</v>
      </c>
      <c r="F1317" t="s">
        <v>11</v>
      </c>
    </row>
    <row r="1318" spans="1:6" x14ac:dyDescent="0.25">
      <c r="A1318" t="str">
        <f>"64669297"</f>
        <v>64669297</v>
      </c>
      <c r="B1318" t="s">
        <v>1437</v>
      </c>
      <c r="C1318" t="s">
        <v>15</v>
      </c>
      <c r="D1318" t="str">
        <f t="shared" si="53"/>
        <v>563510</v>
      </c>
      <c r="E1318" t="s">
        <v>1091</v>
      </c>
      <c r="F1318" t="s">
        <v>11</v>
      </c>
    </row>
    <row r="1319" spans="1:6" x14ac:dyDescent="0.25">
      <c r="A1319" t="str">
        <f>"64669017"</f>
        <v>64669017</v>
      </c>
      <c r="B1319" t="s">
        <v>1438</v>
      </c>
      <c r="C1319" t="s">
        <v>15</v>
      </c>
      <c r="D1319" t="str">
        <f t="shared" si="53"/>
        <v>563510</v>
      </c>
      <c r="E1319" t="s">
        <v>1091</v>
      </c>
      <c r="F1319" t="s">
        <v>11</v>
      </c>
    </row>
    <row r="1320" spans="1:6" x14ac:dyDescent="0.25">
      <c r="A1320" t="str">
        <f>"60253274"</f>
        <v>60253274</v>
      </c>
      <c r="B1320" t="s">
        <v>1439</v>
      </c>
      <c r="C1320" t="s">
        <v>15</v>
      </c>
      <c r="D1320" t="str">
        <f t="shared" si="53"/>
        <v>563510</v>
      </c>
      <c r="E1320" t="s">
        <v>1091</v>
      </c>
      <c r="F1320" t="s">
        <v>11</v>
      </c>
    </row>
    <row r="1321" spans="1:6" x14ac:dyDescent="0.25">
      <c r="A1321" t="str">
        <f>"60253096"</f>
        <v>60253096</v>
      </c>
      <c r="B1321" t="s">
        <v>1440</v>
      </c>
      <c r="C1321" t="s">
        <v>15</v>
      </c>
      <c r="D1321" t="str">
        <f t="shared" si="53"/>
        <v>563510</v>
      </c>
      <c r="E1321" t="s">
        <v>1091</v>
      </c>
      <c r="F1321" t="s">
        <v>11</v>
      </c>
    </row>
    <row r="1322" spans="1:6" x14ac:dyDescent="0.25">
      <c r="A1322" t="str">
        <f>"70201129"</f>
        <v>70201129</v>
      </c>
      <c r="B1322" t="s">
        <v>1441</v>
      </c>
      <c r="C1322" t="s">
        <v>7</v>
      </c>
      <c r="D1322" t="str">
        <f t="shared" si="53"/>
        <v>563510</v>
      </c>
      <c r="E1322" t="s">
        <v>1091</v>
      </c>
      <c r="F1322" t="s">
        <v>11</v>
      </c>
    </row>
    <row r="1323" spans="1:6" x14ac:dyDescent="0.25">
      <c r="A1323" t="str">
        <f>"60253398"</f>
        <v>60253398</v>
      </c>
      <c r="B1323" t="s">
        <v>1442</v>
      </c>
      <c r="C1323" t="s">
        <v>15</v>
      </c>
      <c r="D1323" t="str">
        <f t="shared" si="53"/>
        <v>563510</v>
      </c>
      <c r="E1323" t="s">
        <v>1091</v>
      </c>
      <c r="F1323" t="s">
        <v>29</v>
      </c>
    </row>
    <row r="1324" spans="1:6" x14ac:dyDescent="0.25">
      <c r="A1324" t="str">
        <f>"27047512"</f>
        <v>27047512</v>
      </c>
      <c r="B1324" t="s">
        <v>1443</v>
      </c>
      <c r="C1324" t="s">
        <v>7</v>
      </c>
      <c r="D1324" t="str">
        <f t="shared" si="53"/>
        <v>563510</v>
      </c>
      <c r="E1324" t="s">
        <v>1091</v>
      </c>
      <c r="F1324" t="s">
        <v>389</v>
      </c>
    </row>
    <row r="1325" spans="1:6" x14ac:dyDescent="0.25">
      <c r="A1325" t="str">
        <f>"26710439"</f>
        <v>26710439</v>
      </c>
      <c r="B1325" t="s">
        <v>1444</v>
      </c>
      <c r="C1325" t="s">
        <v>78</v>
      </c>
      <c r="D1325" t="str">
        <f t="shared" si="53"/>
        <v>563510</v>
      </c>
      <c r="E1325" t="s">
        <v>1091</v>
      </c>
      <c r="F1325" t="s">
        <v>1445</v>
      </c>
    </row>
    <row r="1326" spans="1:6" x14ac:dyDescent="0.25">
      <c r="A1326" t="str">
        <f>"22837647"</f>
        <v>22837647</v>
      </c>
      <c r="B1326" t="s">
        <v>1446</v>
      </c>
      <c r="C1326" t="s">
        <v>7</v>
      </c>
      <c r="D1326" t="str">
        <f t="shared" si="53"/>
        <v>563510</v>
      </c>
      <c r="E1326" t="s">
        <v>1091</v>
      </c>
      <c r="F1326" t="s">
        <v>137</v>
      </c>
    </row>
    <row r="1327" spans="1:6" x14ac:dyDescent="0.25">
      <c r="A1327" t="str">
        <f>"02202808"</f>
        <v>02202808</v>
      </c>
      <c r="B1327" t="s">
        <v>1447</v>
      </c>
      <c r="C1327" t="s">
        <v>7</v>
      </c>
      <c r="D1327" t="str">
        <f t="shared" si="53"/>
        <v>563510</v>
      </c>
      <c r="E1327" t="s">
        <v>1091</v>
      </c>
      <c r="F1327" t="s">
        <v>11</v>
      </c>
    </row>
    <row r="1328" spans="1:6" x14ac:dyDescent="0.25">
      <c r="A1328" t="str">
        <f>"22666389"</f>
        <v>22666389</v>
      </c>
      <c r="B1328" t="s">
        <v>1448</v>
      </c>
      <c r="C1328" t="s">
        <v>7</v>
      </c>
      <c r="D1328" t="str">
        <f t="shared" si="53"/>
        <v>563510</v>
      </c>
      <c r="E1328" t="s">
        <v>1091</v>
      </c>
      <c r="F1328" t="s">
        <v>11</v>
      </c>
    </row>
    <row r="1329" spans="1:6" x14ac:dyDescent="0.25">
      <c r="A1329" t="str">
        <f>"22712011"</f>
        <v>22712011</v>
      </c>
      <c r="B1329" t="s">
        <v>1449</v>
      </c>
      <c r="C1329" t="s">
        <v>7</v>
      </c>
      <c r="D1329" t="str">
        <f t="shared" si="53"/>
        <v>563510</v>
      </c>
      <c r="E1329" t="s">
        <v>1091</v>
      </c>
      <c r="F1329" t="s">
        <v>62</v>
      </c>
    </row>
    <row r="1330" spans="1:6" x14ac:dyDescent="0.25">
      <c r="A1330" t="str">
        <f>"22678905"</f>
        <v>22678905</v>
      </c>
      <c r="B1330" t="s">
        <v>1450</v>
      </c>
      <c r="C1330" t="s">
        <v>7</v>
      </c>
      <c r="D1330" t="str">
        <f t="shared" si="53"/>
        <v>563510</v>
      </c>
      <c r="E1330" t="s">
        <v>1091</v>
      </c>
      <c r="F1330" t="s">
        <v>29</v>
      </c>
    </row>
    <row r="1331" spans="1:6" x14ac:dyDescent="0.25">
      <c r="A1331" t="str">
        <f>"22829903"</f>
        <v>22829903</v>
      </c>
      <c r="B1331" t="s">
        <v>1451</v>
      </c>
      <c r="C1331" t="s">
        <v>27</v>
      </c>
      <c r="D1331" t="str">
        <f t="shared" si="53"/>
        <v>563510</v>
      </c>
      <c r="E1331" t="s">
        <v>1091</v>
      </c>
      <c r="F1331" t="s">
        <v>1172</v>
      </c>
    </row>
    <row r="1332" spans="1:6" x14ac:dyDescent="0.25">
      <c r="A1332" t="str">
        <f>"23120495"</f>
        <v>23120495</v>
      </c>
      <c r="B1332" t="s">
        <v>1452</v>
      </c>
      <c r="C1332" t="s">
        <v>7</v>
      </c>
      <c r="D1332" t="str">
        <f t="shared" si="53"/>
        <v>563510</v>
      </c>
      <c r="E1332" t="s">
        <v>1091</v>
      </c>
      <c r="F1332" t="s">
        <v>11</v>
      </c>
    </row>
    <row r="1333" spans="1:6" x14ac:dyDescent="0.25">
      <c r="A1333" t="str">
        <f>"04996097"</f>
        <v>04996097</v>
      </c>
      <c r="B1333" t="s">
        <v>1453</v>
      </c>
      <c r="C1333" t="s">
        <v>7</v>
      </c>
      <c r="D1333" t="str">
        <f t="shared" si="53"/>
        <v>563510</v>
      </c>
      <c r="E1333" t="s">
        <v>1091</v>
      </c>
      <c r="F1333" t="s">
        <v>35</v>
      </c>
    </row>
    <row r="1334" spans="1:6" x14ac:dyDescent="0.25">
      <c r="A1334" t="str">
        <f>"27056937"</f>
        <v>27056937</v>
      </c>
      <c r="B1334" t="s">
        <v>1454</v>
      </c>
      <c r="C1334" t="s">
        <v>7</v>
      </c>
      <c r="D1334" t="str">
        <f t="shared" si="53"/>
        <v>563510</v>
      </c>
      <c r="E1334" t="s">
        <v>1091</v>
      </c>
      <c r="F1334" t="s">
        <v>62</v>
      </c>
    </row>
    <row r="1335" spans="1:6" x14ac:dyDescent="0.25">
      <c r="A1335" t="str">
        <f>"16390113"</f>
        <v>16390113</v>
      </c>
      <c r="B1335" t="s">
        <v>1455</v>
      </c>
      <c r="C1335" t="s">
        <v>43</v>
      </c>
      <c r="D1335" t="str">
        <f t="shared" si="53"/>
        <v>563510</v>
      </c>
      <c r="E1335" t="s">
        <v>1091</v>
      </c>
      <c r="F1335" t="s">
        <v>44</v>
      </c>
    </row>
    <row r="1336" spans="1:6" x14ac:dyDescent="0.25">
      <c r="A1336" t="str">
        <f>"60253797"</f>
        <v>60253797</v>
      </c>
      <c r="B1336" t="s">
        <v>1456</v>
      </c>
      <c r="C1336" t="s">
        <v>43</v>
      </c>
      <c r="D1336" t="str">
        <f t="shared" si="53"/>
        <v>563510</v>
      </c>
      <c r="E1336" t="s">
        <v>1091</v>
      </c>
      <c r="F1336" t="s">
        <v>44</v>
      </c>
    </row>
    <row r="1337" spans="1:6" x14ac:dyDescent="0.25">
      <c r="A1337" t="str">
        <f>"60253835"</f>
        <v>60253835</v>
      </c>
      <c r="B1337" t="s">
        <v>1457</v>
      </c>
      <c r="C1337" t="s">
        <v>43</v>
      </c>
      <c r="D1337" t="str">
        <f t="shared" si="53"/>
        <v>563510</v>
      </c>
      <c r="E1337" t="s">
        <v>1091</v>
      </c>
      <c r="F1337" t="s">
        <v>44</v>
      </c>
    </row>
    <row r="1338" spans="1:6" x14ac:dyDescent="0.25">
      <c r="A1338" t="str">
        <f>"60253819"</f>
        <v>60253819</v>
      </c>
      <c r="B1338" t="s">
        <v>1458</v>
      </c>
      <c r="C1338" t="s">
        <v>43</v>
      </c>
      <c r="D1338" t="str">
        <f t="shared" si="53"/>
        <v>563510</v>
      </c>
      <c r="E1338" t="s">
        <v>1091</v>
      </c>
      <c r="F1338" t="s">
        <v>44</v>
      </c>
    </row>
    <row r="1339" spans="1:6" x14ac:dyDescent="0.25">
      <c r="A1339" t="str">
        <f>"60253801"</f>
        <v>60253801</v>
      </c>
      <c r="B1339" t="s">
        <v>1459</v>
      </c>
      <c r="C1339" t="s">
        <v>43</v>
      </c>
      <c r="D1339" t="str">
        <f t="shared" si="53"/>
        <v>563510</v>
      </c>
      <c r="E1339" t="s">
        <v>1091</v>
      </c>
      <c r="F1339" t="s">
        <v>44</v>
      </c>
    </row>
    <row r="1340" spans="1:6" x14ac:dyDescent="0.25">
      <c r="A1340" t="str">
        <f>"26660024"</f>
        <v>26660024</v>
      </c>
      <c r="B1340" t="s">
        <v>1460</v>
      </c>
      <c r="C1340" t="s">
        <v>7</v>
      </c>
      <c r="D1340" t="str">
        <f t="shared" si="53"/>
        <v>563510</v>
      </c>
      <c r="E1340" t="s">
        <v>1091</v>
      </c>
      <c r="F1340" t="s">
        <v>11</v>
      </c>
    </row>
    <row r="1341" spans="1:6" x14ac:dyDescent="0.25">
      <c r="A1341" t="str">
        <f>"22852158"</f>
        <v>22852158</v>
      </c>
      <c r="B1341" t="s">
        <v>1461</v>
      </c>
      <c r="C1341" t="s">
        <v>7</v>
      </c>
      <c r="D1341" t="str">
        <f t="shared" si="53"/>
        <v>563510</v>
      </c>
      <c r="E1341" t="s">
        <v>1091</v>
      </c>
      <c r="F1341" t="s">
        <v>11</v>
      </c>
    </row>
    <row r="1342" spans="1:6" x14ac:dyDescent="0.25">
      <c r="A1342" t="str">
        <f>"64668673"</f>
        <v>64668673</v>
      </c>
      <c r="B1342" t="s">
        <v>1462</v>
      </c>
      <c r="C1342" t="s">
        <v>43</v>
      </c>
      <c r="D1342" t="str">
        <f t="shared" si="53"/>
        <v>563510</v>
      </c>
      <c r="E1342" t="s">
        <v>1091</v>
      </c>
      <c r="F1342" t="s">
        <v>44</v>
      </c>
    </row>
    <row r="1343" spans="1:6" x14ac:dyDescent="0.25">
      <c r="A1343" t="str">
        <f>"64668100"</f>
        <v>64668100</v>
      </c>
      <c r="B1343" t="s">
        <v>1463</v>
      </c>
      <c r="C1343" t="s">
        <v>15</v>
      </c>
      <c r="D1343" t="str">
        <f t="shared" si="53"/>
        <v>563510</v>
      </c>
      <c r="E1343" t="s">
        <v>1091</v>
      </c>
      <c r="F1343" t="s">
        <v>16</v>
      </c>
    </row>
    <row r="1344" spans="1:6" x14ac:dyDescent="0.25">
      <c r="A1344" t="str">
        <f>"60252651"</f>
        <v>60252651</v>
      </c>
      <c r="B1344" t="s">
        <v>1464</v>
      </c>
      <c r="C1344" t="s">
        <v>15</v>
      </c>
      <c r="D1344" t="str">
        <f t="shared" si="53"/>
        <v>563510</v>
      </c>
      <c r="E1344" t="s">
        <v>1091</v>
      </c>
      <c r="F1344" t="s">
        <v>65</v>
      </c>
    </row>
    <row r="1345" spans="1:6" x14ac:dyDescent="0.25">
      <c r="A1345" t="str">
        <f>"26541416"</f>
        <v>26541416</v>
      </c>
      <c r="B1345" t="s">
        <v>1465</v>
      </c>
      <c r="C1345" t="s">
        <v>7</v>
      </c>
      <c r="D1345" t="str">
        <f t="shared" si="53"/>
        <v>563510</v>
      </c>
      <c r="E1345" t="s">
        <v>1091</v>
      </c>
      <c r="F1345" t="s">
        <v>11</v>
      </c>
    </row>
    <row r="1346" spans="1:6" x14ac:dyDescent="0.25">
      <c r="A1346" t="str">
        <f>"01285530"</f>
        <v>01285530</v>
      </c>
      <c r="B1346" t="s">
        <v>1466</v>
      </c>
      <c r="C1346" t="s">
        <v>7</v>
      </c>
      <c r="D1346" t="str">
        <f t="shared" si="53"/>
        <v>563510</v>
      </c>
      <c r="E1346" t="s">
        <v>1091</v>
      </c>
      <c r="F1346" t="s">
        <v>11</v>
      </c>
    </row>
    <row r="1347" spans="1:6" x14ac:dyDescent="0.25">
      <c r="A1347" t="str">
        <f>"64669157"</f>
        <v>64669157</v>
      </c>
      <c r="B1347" t="s">
        <v>1467</v>
      </c>
      <c r="C1347" t="s">
        <v>7</v>
      </c>
      <c r="D1347" t="str">
        <f t="shared" si="53"/>
        <v>563510</v>
      </c>
      <c r="E1347" t="s">
        <v>1091</v>
      </c>
      <c r="F1347" t="s">
        <v>11</v>
      </c>
    </row>
    <row r="1348" spans="1:6" x14ac:dyDescent="0.25">
      <c r="A1348" t="str">
        <f>"02466473"</f>
        <v>02466473</v>
      </c>
      <c r="B1348" t="s">
        <v>1468</v>
      </c>
      <c r="C1348" t="s">
        <v>7</v>
      </c>
      <c r="D1348" t="str">
        <f t="shared" si="53"/>
        <v>563510</v>
      </c>
      <c r="E1348" t="s">
        <v>1091</v>
      </c>
      <c r="F1348" t="s">
        <v>11</v>
      </c>
    </row>
    <row r="1349" spans="1:6" x14ac:dyDescent="0.25">
      <c r="A1349" t="str">
        <f>"64669815"</f>
        <v>64669815</v>
      </c>
      <c r="B1349" t="s">
        <v>1469</v>
      </c>
      <c r="C1349" t="s">
        <v>7</v>
      </c>
      <c r="D1349" t="str">
        <f t="shared" si="53"/>
        <v>563510</v>
      </c>
      <c r="E1349" t="s">
        <v>1091</v>
      </c>
      <c r="F1349" t="s">
        <v>9</v>
      </c>
    </row>
    <row r="1350" spans="1:6" x14ac:dyDescent="0.25">
      <c r="A1350" t="str">
        <f>"26606887"</f>
        <v>26606887</v>
      </c>
      <c r="B1350" t="s">
        <v>1470</v>
      </c>
      <c r="C1350" t="s">
        <v>7</v>
      </c>
      <c r="D1350" t="str">
        <f t="shared" si="53"/>
        <v>563510</v>
      </c>
      <c r="E1350" t="s">
        <v>1091</v>
      </c>
      <c r="F1350" t="s">
        <v>11</v>
      </c>
    </row>
    <row r="1351" spans="1:6" x14ac:dyDescent="0.25">
      <c r="A1351" t="str">
        <f>"69897603"</f>
        <v>69897603</v>
      </c>
      <c r="B1351" t="s">
        <v>1471</v>
      </c>
      <c r="C1351" t="s">
        <v>7</v>
      </c>
      <c r="D1351" t="str">
        <f t="shared" si="53"/>
        <v>563510</v>
      </c>
      <c r="E1351" t="s">
        <v>1091</v>
      </c>
      <c r="F1351" t="s">
        <v>18</v>
      </c>
    </row>
    <row r="1352" spans="1:6" x14ac:dyDescent="0.25">
      <c r="A1352" t="str">
        <f>"21031568"</f>
        <v>21031568</v>
      </c>
      <c r="B1352" t="s">
        <v>1472</v>
      </c>
      <c r="C1352" t="s">
        <v>7</v>
      </c>
      <c r="D1352" t="str">
        <f t="shared" si="53"/>
        <v>563510</v>
      </c>
      <c r="E1352" t="s">
        <v>1091</v>
      </c>
      <c r="F1352" t="s">
        <v>13</v>
      </c>
    </row>
    <row r="1353" spans="1:6" x14ac:dyDescent="0.25">
      <c r="A1353" t="str">
        <f>"60252791"</f>
        <v>60252791</v>
      </c>
      <c r="B1353" t="s">
        <v>1473</v>
      </c>
      <c r="C1353" t="s">
        <v>15</v>
      </c>
      <c r="D1353" t="str">
        <f t="shared" si="53"/>
        <v>563510</v>
      </c>
      <c r="E1353" t="s">
        <v>1091</v>
      </c>
      <c r="F1353" t="s">
        <v>11</v>
      </c>
    </row>
    <row r="1354" spans="1:6" x14ac:dyDescent="0.25">
      <c r="A1354" t="str">
        <f>"22906347"</f>
        <v>22906347</v>
      </c>
      <c r="B1354" t="s">
        <v>1474</v>
      </c>
      <c r="C1354" t="s">
        <v>7</v>
      </c>
      <c r="D1354" t="str">
        <f t="shared" si="53"/>
        <v>563510</v>
      </c>
      <c r="E1354" t="s">
        <v>1091</v>
      </c>
      <c r="F1354" t="s">
        <v>13</v>
      </c>
    </row>
    <row r="1355" spans="1:6" x14ac:dyDescent="0.25">
      <c r="A1355" t="str">
        <f>"43257348"</f>
        <v>43257348</v>
      </c>
      <c r="B1355" t="s">
        <v>1475</v>
      </c>
      <c r="C1355" t="s">
        <v>15</v>
      </c>
      <c r="D1355" t="str">
        <f t="shared" si="53"/>
        <v>563510</v>
      </c>
      <c r="E1355" t="s">
        <v>1091</v>
      </c>
      <c r="F1355" t="s">
        <v>11</v>
      </c>
    </row>
    <row r="1356" spans="1:6" x14ac:dyDescent="0.25">
      <c r="A1356" t="str">
        <f>"22736336"</f>
        <v>22736336</v>
      </c>
      <c r="B1356" t="s">
        <v>1476</v>
      </c>
      <c r="C1356" t="s">
        <v>7</v>
      </c>
      <c r="D1356" t="str">
        <f t="shared" si="53"/>
        <v>563510</v>
      </c>
      <c r="E1356" t="s">
        <v>1091</v>
      </c>
      <c r="F1356" t="s">
        <v>11</v>
      </c>
    </row>
    <row r="1357" spans="1:6" x14ac:dyDescent="0.25">
      <c r="A1357" t="str">
        <f>"43256091"</f>
        <v>43256091</v>
      </c>
      <c r="B1357" t="s">
        <v>1477</v>
      </c>
      <c r="C1357" t="s">
        <v>15</v>
      </c>
      <c r="D1357" t="str">
        <f t="shared" si="53"/>
        <v>563510</v>
      </c>
      <c r="E1357" t="s">
        <v>1091</v>
      </c>
      <c r="F1357" t="s">
        <v>11</v>
      </c>
    </row>
    <row r="1358" spans="1:6" x14ac:dyDescent="0.25">
      <c r="A1358" t="str">
        <f>"09062904"</f>
        <v>09062904</v>
      </c>
      <c r="B1358" t="s">
        <v>1478</v>
      </c>
      <c r="C1358" t="s">
        <v>7</v>
      </c>
      <c r="D1358" t="str">
        <f t="shared" si="53"/>
        <v>563510</v>
      </c>
      <c r="E1358" t="s">
        <v>1091</v>
      </c>
      <c r="F1358" t="s">
        <v>13</v>
      </c>
    </row>
    <row r="1359" spans="1:6" x14ac:dyDescent="0.25">
      <c r="A1359" t="str">
        <f>"01710427"</f>
        <v>01710427</v>
      </c>
      <c r="B1359" t="s">
        <v>1479</v>
      </c>
      <c r="C1359" t="s">
        <v>7</v>
      </c>
      <c r="D1359" t="str">
        <f t="shared" si="53"/>
        <v>563510</v>
      </c>
      <c r="E1359" t="s">
        <v>1091</v>
      </c>
      <c r="F1359" t="s">
        <v>13</v>
      </c>
    </row>
    <row r="1360" spans="1:6" x14ac:dyDescent="0.25">
      <c r="A1360" t="str">
        <f>"02760100"</f>
        <v>02760100</v>
      </c>
      <c r="B1360" t="s">
        <v>1480</v>
      </c>
      <c r="C1360" t="s">
        <v>7</v>
      </c>
      <c r="D1360" t="str">
        <f t="shared" si="53"/>
        <v>563510</v>
      </c>
      <c r="E1360" t="s">
        <v>1091</v>
      </c>
      <c r="F1360" t="s">
        <v>13</v>
      </c>
    </row>
    <row r="1361" spans="1:6" x14ac:dyDescent="0.25">
      <c r="A1361" t="str">
        <f>"26638886"</f>
        <v>26638886</v>
      </c>
      <c r="B1361" t="s">
        <v>1481</v>
      </c>
      <c r="C1361" t="s">
        <v>7</v>
      </c>
      <c r="D1361" t="str">
        <f t="shared" si="53"/>
        <v>563510</v>
      </c>
      <c r="E1361" t="s">
        <v>1091</v>
      </c>
      <c r="F1361" t="s">
        <v>254</v>
      </c>
    </row>
    <row r="1362" spans="1:6" x14ac:dyDescent="0.25">
      <c r="A1362" t="str">
        <f>"27010031"</f>
        <v>27010031</v>
      </c>
      <c r="B1362" t="s">
        <v>1482</v>
      </c>
      <c r="C1362" t="s">
        <v>7</v>
      </c>
      <c r="D1362" t="str">
        <f t="shared" ref="D1362:D1425" si="54">"563510"</f>
        <v>563510</v>
      </c>
      <c r="E1362" t="s">
        <v>1091</v>
      </c>
      <c r="F1362" t="s">
        <v>11</v>
      </c>
    </row>
    <row r="1363" spans="1:6" x14ac:dyDescent="0.25">
      <c r="A1363" t="str">
        <f>"04589211"</f>
        <v>04589211</v>
      </c>
      <c r="B1363" t="s">
        <v>1483</v>
      </c>
      <c r="C1363" t="s">
        <v>15</v>
      </c>
      <c r="D1363" t="str">
        <f t="shared" si="54"/>
        <v>563510</v>
      </c>
      <c r="E1363" t="s">
        <v>1091</v>
      </c>
      <c r="F1363" t="s">
        <v>621</v>
      </c>
    </row>
    <row r="1364" spans="1:6" x14ac:dyDescent="0.25">
      <c r="A1364" t="str">
        <f>"07365845"</f>
        <v>07365845</v>
      </c>
      <c r="B1364" t="s">
        <v>1484</v>
      </c>
      <c r="C1364" t="s">
        <v>15</v>
      </c>
      <c r="D1364" t="str">
        <f t="shared" si="54"/>
        <v>563510</v>
      </c>
      <c r="E1364" t="s">
        <v>1091</v>
      </c>
      <c r="F1364" t="s">
        <v>9</v>
      </c>
    </row>
    <row r="1365" spans="1:6" x14ac:dyDescent="0.25">
      <c r="A1365" t="str">
        <f>"26646579"</f>
        <v>26646579</v>
      </c>
      <c r="B1365" t="s">
        <v>1485</v>
      </c>
      <c r="C1365" t="s">
        <v>7</v>
      </c>
      <c r="D1365" t="str">
        <f t="shared" si="54"/>
        <v>563510</v>
      </c>
      <c r="E1365" t="s">
        <v>1091</v>
      </c>
      <c r="F1365" t="s">
        <v>11</v>
      </c>
    </row>
    <row r="1366" spans="1:6" x14ac:dyDescent="0.25">
      <c r="A1366" t="str">
        <f>"01536192"</f>
        <v>01536192</v>
      </c>
      <c r="B1366" t="s">
        <v>1486</v>
      </c>
      <c r="C1366" t="s">
        <v>7</v>
      </c>
      <c r="D1366" t="str">
        <f t="shared" si="54"/>
        <v>563510</v>
      </c>
      <c r="E1366" t="s">
        <v>1091</v>
      </c>
      <c r="F1366" t="s">
        <v>11</v>
      </c>
    </row>
    <row r="1367" spans="1:6" x14ac:dyDescent="0.25">
      <c r="A1367" t="str">
        <f>"02501431"</f>
        <v>02501431</v>
      </c>
      <c r="B1367" t="s">
        <v>1487</v>
      </c>
      <c r="C1367" t="s">
        <v>7</v>
      </c>
      <c r="D1367" t="str">
        <f t="shared" si="54"/>
        <v>563510</v>
      </c>
      <c r="E1367" t="s">
        <v>1091</v>
      </c>
      <c r="F1367" t="s">
        <v>29</v>
      </c>
    </row>
    <row r="1368" spans="1:6" x14ac:dyDescent="0.25">
      <c r="A1368" t="str">
        <f>"60254572"</f>
        <v>60254572</v>
      </c>
      <c r="B1368" t="s">
        <v>1488</v>
      </c>
      <c r="C1368" t="s">
        <v>15</v>
      </c>
      <c r="D1368" t="str">
        <f t="shared" si="54"/>
        <v>563510</v>
      </c>
      <c r="E1368" t="s">
        <v>1091</v>
      </c>
      <c r="F1368" t="s">
        <v>16</v>
      </c>
    </row>
    <row r="1369" spans="1:6" x14ac:dyDescent="0.25">
      <c r="A1369" t="str">
        <f>"60254980"</f>
        <v>60254980</v>
      </c>
      <c r="B1369" t="s">
        <v>1489</v>
      </c>
      <c r="C1369" t="s">
        <v>15</v>
      </c>
      <c r="D1369" t="str">
        <f t="shared" si="54"/>
        <v>563510</v>
      </c>
      <c r="E1369" t="s">
        <v>1091</v>
      </c>
      <c r="F1369" t="s">
        <v>16</v>
      </c>
    </row>
    <row r="1370" spans="1:6" x14ac:dyDescent="0.25">
      <c r="A1370" t="str">
        <f>"43257747"</f>
        <v>43257747</v>
      </c>
      <c r="B1370" t="s">
        <v>1490</v>
      </c>
      <c r="C1370" t="s">
        <v>15</v>
      </c>
      <c r="D1370" t="str">
        <f t="shared" si="54"/>
        <v>563510</v>
      </c>
      <c r="E1370" t="s">
        <v>1091</v>
      </c>
      <c r="F1370" t="s">
        <v>16</v>
      </c>
    </row>
    <row r="1371" spans="1:6" x14ac:dyDescent="0.25">
      <c r="A1371" t="str">
        <f>"64668151"</f>
        <v>64668151</v>
      </c>
      <c r="B1371" t="s">
        <v>1491</v>
      </c>
      <c r="C1371" t="s">
        <v>15</v>
      </c>
      <c r="D1371" t="str">
        <f t="shared" si="54"/>
        <v>563510</v>
      </c>
      <c r="E1371" t="s">
        <v>1091</v>
      </c>
      <c r="F1371" t="s">
        <v>16</v>
      </c>
    </row>
    <row r="1372" spans="1:6" x14ac:dyDescent="0.25">
      <c r="A1372" t="str">
        <f>"70867445"</f>
        <v>70867445</v>
      </c>
      <c r="B1372" t="s">
        <v>1492</v>
      </c>
      <c r="C1372" t="s">
        <v>7</v>
      </c>
      <c r="D1372" t="str">
        <f t="shared" si="54"/>
        <v>563510</v>
      </c>
      <c r="E1372" t="s">
        <v>1091</v>
      </c>
      <c r="F1372" t="s">
        <v>13</v>
      </c>
    </row>
    <row r="1373" spans="1:6" x14ac:dyDescent="0.25">
      <c r="A1373" t="str">
        <f>"22898018"</f>
        <v>22898018</v>
      </c>
      <c r="B1373" t="s">
        <v>1493</v>
      </c>
      <c r="C1373" t="s">
        <v>7</v>
      </c>
      <c r="D1373" t="str">
        <f t="shared" si="54"/>
        <v>563510</v>
      </c>
      <c r="E1373" t="s">
        <v>1091</v>
      </c>
      <c r="F1373" t="s">
        <v>18</v>
      </c>
    </row>
    <row r="1374" spans="1:6" x14ac:dyDescent="0.25">
      <c r="A1374" t="str">
        <f>"27040810"</f>
        <v>27040810</v>
      </c>
      <c r="B1374" t="s">
        <v>1494</v>
      </c>
      <c r="C1374" t="s">
        <v>7</v>
      </c>
      <c r="D1374" t="str">
        <f t="shared" si="54"/>
        <v>563510</v>
      </c>
      <c r="E1374" t="s">
        <v>1091</v>
      </c>
      <c r="F1374" t="s">
        <v>9</v>
      </c>
    </row>
    <row r="1375" spans="1:6" x14ac:dyDescent="0.25">
      <c r="A1375" t="str">
        <f>"26999781"</f>
        <v>26999781</v>
      </c>
      <c r="B1375" t="s">
        <v>1495</v>
      </c>
      <c r="C1375" t="s">
        <v>7</v>
      </c>
      <c r="D1375" t="str">
        <f t="shared" si="54"/>
        <v>563510</v>
      </c>
      <c r="E1375" t="s">
        <v>1091</v>
      </c>
      <c r="F1375" t="s">
        <v>9</v>
      </c>
    </row>
    <row r="1376" spans="1:6" x14ac:dyDescent="0.25">
      <c r="A1376" t="str">
        <f>"70838488"</f>
        <v>70838488</v>
      </c>
      <c r="B1376" t="s">
        <v>1496</v>
      </c>
      <c r="C1376" t="s">
        <v>7</v>
      </c>
      <c r="D1376" t="str">
        <f t="shared" si="54"/>
        <v>563510</v>
      </c>
      <c r="E1376" t="s">
        <v>1091</v>
      </c>
      <c r="F1376" t="s">
        <v>65</v>
      </c>
    </row>
    <row r="1377" spans="1:6" x14ac:dyDescent="0.25">
      <c r="A1377" t="str">
        <f>"05250862"</f>
        <v>05250862</v>
      </c>
      <c r="B1377" t="s">
        <v>1497</v>
      </c>
      <c r="C1377" t="s">
        <v>7</v>
      </c>
      <c r="D1377" t="str">
        <f t="shared" si="54"/>
        <v>563510</v>
      </c>
      <c r="E1377" t="s">
        <v>1091</v>
      </c>
      <c r="F1377" t="s">
        <v>62</v>
      </c>
    </row>
    <row r="1378" spans="1:6" x14ac:dyDescent="0.25">
      <c r="A1378" t="str">
        <f>"26624184"</f>
        <v>26624184</v>
      </c>
      <c r="B1378" t="s">
        <v>1498</v>
      </c>
      <c r="C1378" t="s">
        <v>7</v>
      </c>
      <c r="D1378" t="str">
        <f t="shared" si="54"/>
        <v>563510</v>
      </c>
      <c r="E1378" t="s">
        <v>1091</v>
      </c>
      <c r="F1378" t="s">
        <v>9</v>
      </c>
    </row>
    <row r="1379" spans="1:6" x14ac:dyDescent="0.25">
      <c r="A1379" t="str">
        <f>"63155419"</f>
        <v>63155419</v>
      </c>
      <c r="B1379" t="s">
        <v>1499</v>
      </c>
      <c r="C1379" t="s">
        <v>7</v>
      </c>
      <c r="D1379" t="str">
        <f t="shared" si="54"/>
        <v>563510</v>
      </c>
      <c r="E1379" t="s">
        <v>1091</v>
      </c>
      <c r="F1379" t="s">
        <v>65</v>
      </c>
    </row>
    <row r="1380" spans="1:6" x14ac:dyDescent="0.25">
      <c r="A1380" t="str">
        <f>"70200611"</f>
        <v>70200611</v>
      </c>
      <c r="B1380" t="s">
        <v>1500</v>
      </c>
      <c r="C1380" t="s">
        <v>7</v>
      </c>
      <c r="D1380" t="str">
        <f t="shared" si="54"/>
        <v>563510</v>
      </c>
      <c r="E1380" t="s">
        <v>1091</v>
      </c>
      <c r="F1380" t="s">
        <v>35</v>
      </c>
    </row>
    <row r="1381" spans="1:6" x14ac:dyDescent="0.25">
      <c r="A1381" t="str">
        <f>"70229694"</f>
        <v>70229694</v>
      </c>
      <c r="B1381" t="s">
        <v>1501</v>
      </c>
      <c r="C1381" t="s">
        <v>7</v>
      </c>
      <c r="D1381" t="str">
        <f t="shared" si="54"/>
        <v>563510</v>
      </c>
      <c r="E1381" t="s">
        <v>1091</v>
      </c>
      <c r="F1381" t="s">
        <v>9</v>
      </c>
    </row>
    <row r="1382" spans="1:6" x14ac:dyDescent="0.25">
      <c r="A1382" t="str">
        <f>"26516349"</f>
        <v>26516349</v>
      </c>
      <c r="B1382" t="s">
        <v>1502</v>
      </c>
      <c r="C1382" t="s">
        <v>7</v>
      </c>
      <c r="D1382" t="str">
        <f t="shared" si="54"/>
        <v>563510</v>
      </c>
      <c r="E1382" t="s">
        <v>1091</v>
      </c>
      <c r="F1382" t="s">
        <v>65</v>
      </c>
    </row>
    <row r="1383" spans="1:6" x14ac:dyDescent="0.25">
      <c r="A1383" t="str">
        <f>"22710213"</f>
        <v>22710213</v>
      </c>
      <c r="B1383" t="s">
        <v>1503</v>
      </c>
      <c r="C1383" t="s">
        <v>7</v>
      </c>
      <c r="D1383" t="str">
        <f t="shared" si="54"/>
        <v>563510</v>
      </c>
      <c r="E1383" t="s">
        <v>1091</v>
      </c>
      <c r="F1383" t="s">
        <v>62</v>
      </c>
    </row>
    <row r="1384" spans="1:6" x14ac:dyDescent="0.25">
      <c r="A1384" t="str">
        <f>"26588803"</f>
        <v>26588803</v>
      </c>
      <c r="B1384" t="s">
        <v>1504</v>
      </c>
      <c r="C1384" t="s">
        <v>7</v>
      </c>
      <c r="D1384" t="str">
        <f t="shared" si="54"/>
        <v>563510</v>
      </c>
      <c r="E1384" t="s">
        <v>1091</v>
      </c>
      <c r="F1384" t="s">
        <v>11</v>
      </c>
    </row>
    <row r="1385" spans="1:6" x14ac:dyDescent="0.25">
      <c r="A1385" t="str">
        <f>"05875919"</f>
        <v>05875919</v>
      </c>
      <c r="B1385" t="s">
        <v>1505</v>
      </c>
      <c r="C1385" t="s">
        <v>7</v>
      </c>
      <c r="D1385" t="str">
        <f t="shared" si="54"/>
        <v>563510</v>
      </c>
      <c r="E1385" t="s">
        <v>1091</v>
      </c>
      <c r="F1385" t="s">
        <v>11</v>
      </c>
    </row>
    <row r="1386" spans="1:6" x14ac:dyDescent="0.25">
      <c r="A1386" t="str">
        <f>"43256678"</f>
        <v>43256678</v>
      </c>
      <c r="B1386" t="s">
        <v>1506</v>
      </c>
      <c r="C1386" t="s">
        <v>7</v>
      </c>
      <c r="D1386" t="str">
        <f t="shared" si="54"/>
        <v>563510</v>
      </c>
      <c r="E1386" t="s">
        <v>1091</v>
      </c>
      <c r="F1386" t="s">
        <v>35</v>
      </c>
    </row>
    <row r="1387" spans="1:6" x14ac:dyDescent="0.25">
      <c r="A1387" t="str">
        <f>"06118003"</f>
        <v>06118003</v>
      </c>
      <c r="B1387" t="s">
        <v>1507</v>
      </c>
      <c r="C1387" t="s">
        <v>7</v>
      </c>
      <c r="D1387" t="str">
        <f t="shared" si="54"/>
        <v>563510</v>
      </c>
      <c r="E1387" t="s">
        <v>1091</v>
      </c>
      <c r="F1387" t="s">
        <v>11</v>
      </c>
    </row>
    <row r="1388" spans="1:6" x14ac:dyDescent="0.25">
      <c r="A1388" t="str">
        <f>"21548544"</f>
        <v>21548544</v>
      </c>
      <c r="B1388" t="s">
        <v>1508</v>
      </c>
      <c r="C1388" t="s">
        <v>7</v>
      </c>
      <c r="D1388" t="str">
        <f t="shared" si="54"/>
        <v>563510</v>
      </c>
      <c r="E1388" t="s">
        <v>1091</v>
      </c>
      <c r="F1388" t="s">
        <v>139</v>
      </c>
    </row>
    <row r="1389" spans="1:6" x14ac:dyDescent="0.25">
      <c r="A1389" t="str">
        <f>"26544571"</f>
        <v>26544571</v>
      </c>
      <c r="B1389" t="s">
        <v>1509</v>
      </c>
      <c r="C1389" t="s">
        <v>7</v>
      </c>
      <c r="D1389" t="str">
        <f t="shared" si="54"/>
        <v>563510</v>
      </c>
      <c r="E1389" t="s">
        <v>1091</v>
      </c>
      <c r="F1389" t="s">
        <v>11</v>
      </c>
    </row>
    <row r="1390" spans="1:6" x14ac:dyDescent="0.25">
      <c r="A1390" t="str">
        <f>"16389395"</f>
        <v>16389395</v>
      </c>
      <c r="B1390" t="s">
        <v>1510</v>
      </c>
      <c r="C1390" t="s">
        <v>7</v>
      </c>
      <c r="D1390" t="str">
        <f t="shared" si="54"/>
        <v>563510</v>
      </c>
      <c r="E1390" t="s">
        <v>1091</v>
      </c>
      <c r="F1390" t="s">
        <v>328</v>
      </c>
    </row>
    <row r="1391" spans="1:6" x14ac:dyDescent="0.25">
      <c r="A1391" t="str">
        <f>"26536323"</f>
        <v>26536323</v>
      </c>
      <c r="B1391" t="s">
        <v>1511</v>
      </c>
      <c r="C1391" t="s">
        <v>7</v>
      </c>
      <c r="D1391" t="str">
        <f t="shared" si="54"/>
        <v>563510</v>
      </c>
      <c r="E1391" t="s">
        <v>1091</v>
      </c>
      <c r="F1391" t="s">
        <v>9</v>
      </c>
    </row>
    <row r="1392" spans="1:6" x14ac:dyDescent="0.25">
      <c r="A1392" t="str">
        <f>"01564650"</f>
        <v>01564650</v>
      </c>
      <c r="B1392" t="s">
        <v>1512</v>
      </c>
      <c r="C1392" t="s">
        <v>7</v>
      </c>
      <c r="D1392" t="str">
        <f t="shared" si="54"/>
        <v>563510</v>
      </c>
      <c r="E1392" t="s">
        <v>1091</v>
      </c>
      <c r="F1392" t="s">
        <v>11</v>
      </c>
    </row>
    <row r="1393" spans="1:6" x14ac:dyDescent="0.25">
      <c r="A1393" t="str">
        <f>"64668410"</f>
        <v>64668410</v>
      </c>
      <c r="B1393" t="s">
        <v>1513</v>
      </c>
      <c r="C1393" t="s">
        <v>15</v>
      </c>
      <c r="D1393" t="str">
        <f t="shared" si="54"/>
        <v>563510</v>
      </c>
      <c r="E1393" t="s">
        <v>1091</v>
      </c>
      <c r="F1393" t="s">
        <v>137</v>
      </c>
    </row>
    <row r="1394" spans="1:6" x14ac:dyDescent="0.25">
      <c r="A1394" t="str">
        <f>"68455585"</f>
        <v>68455585</v>
      </c>
      <c r="B1394" t="s">
        <v>1514</v>
      </c>
      <c r="C1394" t="s">
        <v>15</v>
      </c>
      <c r="D1394" t="str">
        <f t="shared" si="54"/>
        <v>563510</v>
      </c>
      <c r="E1394" t="s">
        <v>1091</v>
      </c>
      <c r="F1394" t="s">
        <v>137</v>
      </c>
    </row>
    <row r="1395" spans="1:6" x14ac:dyDescent="0.25">
      <c r="A1395" t="str">
        <f>"26553368"</f>
        <v>26553368</v>
      </c>
      <c r="B1395" t="s">
        <v>1515</v>
      </c>
      <c r="C1395" t="s">
        <v>7</v>
      </c>
      <c r="D1395" t="str">
        <f t="shared" si="54"/>
        <v>563510</v>
      </c>
      <c r="E1395" t="s">
        <v>1091</v>
      </c>
      <c r="F1395" t="s">
        <v>11</v>
      </c>
    </row>
    <row r="1396" spans="1:6" x14ac:dyDescent="0.25">
      <c r="A1396" t="str">
        <f>"26549972"</f>
        <v>26549972</v>
      </c>
      <c r="B1396" t="s">
        <v>1516</v>
      </c>
      <c r="C1396" t="s">
        <v>7</v>
      </c>
      <c r="D1396" t="str">
        <f t="shared" si="54"/>
        <v>563510</v>
      </c>
      <c r="E1396" t="s">
        <v>1091</v>
      </c>
      <c r="F1396" t="s">
        <v>11</v>
      </c>
    </row>
    <row r="1397" spans="1:6" x14ac:dyDescent="0.25">
      <c r="A1397" t="str">
        <f>"06992218"</f>
        <v>06992218</v>
      </c>
      <c r="B1397" t="s">
        <v>1517</v>
      </c>
      <c r="C1397" t="s">
        <v>7</v>
      </c>
      <c r="D1397" t="str">
        <f t="shared" si="54"/>
        <v>563510</v>
      </c>
      <c r="E1397" t="s">
        <v>1091</v>
      </c>
      <c r="F1397" t="s">
        <v>11</v>
      </c>
    </row>
    <row r="1398" spans="1:6" x14ac:dyDescent="0.25">
      <c r="A1398" t="str">
        <f>"66110424"</f>
        <v>66110424</v>
      </c>
      <c r="B1398" t="s">
        <v>1518</v>
      </c>
      <c r="C1398" t="s">
        <v>7</v>
      </c>
      <c r="D1398" t="str">
        <f t="shared" si="54"/>
        <v>563510</v>
      </c>
      <c r="E1398" t="s">
        <v>1091</v>
      </c>
      <c r="F1398" t="s">
        <v>11</v>
      </c>
    </row>
    <row r="1399" spans="1:6" x14ac:dyDescent="0.25">
      <c r="A1399" t="str">
        <f>"16389859"</f>
        <v>16389859</v>
      </c>
      <c r="B1399" t="s">
        <v>1519</v>
      </c>
      <c r="C1399" t="s">
        <v>7</v>
      </c>
      <c r="D1399" t="str">
        <f t="shared" si="54"/>
        <v>563510</v>
      </c>
      <c r="E1399" t="s">
        <v>1091</v>
      </c>
      <c r="F1399" t="s">
        <v>11</v>
      </c>
    </row>
    <row r="1400" spans="1:6" x14ac:dyDescent="0.25">
      <c r="A1400" t="str">
        <f>"22837621"</f>
        <v>22837621</v>
      </c>
      <c r="B1400" t="s">
        <v>1520</v>
      </c>
      <c r="C1400" t="s">
        <v>7</v>
      </c>
      <c r="D1400" t="str">
        <f t="shared" si="54"/>
        <v>563510</v>
      </c>
      <c r="E1400" t="s">
        <v>1091</v>
      </c>
      <c r="F1400" t="s">
        <v>137</v>
      </c>
    </row>
    <row r="1401" spans="1:6" x14ac:dyDescent="0.25">
      <c r="A1401" t="str">
        <f>"01796844"</f>
        <v>01796844</v>
      </c>
      <c r="B1401" t="s">
        <v>1521</v>
      </c>
      <c r="C1401" t="s">
        <v>7</v>
      </c>
      <c r="D1401" t="str">
        <f t="shared" si="54"/>
        <v>563510</v>
      </c>
      <c r="E1401" t="s">
        <v>1091</v>
      </c>
      <c r="F1401" t="s">
        <v>11</v>
      </c>
    </row>
    <row r="1402" spans="1:6" x14ac:dyDescent="0.25">
      <c r="A1402" t="str">
        <f>"22837612"</f>
        <v>22837612</v>
      </c>
      <c r="B1402" t="s">
        <v>1522</v>
      </c>
      <c r="C1402" t="s">
        <v>7</v>
      </c>
      <c r="D1402" t="str">
        <f t="shared" si="54"/>
        <v>563510</v>
      </c>
      <c r="E1402" t="s">
        <v>1091</v>
      </c>
      <c r="F1402" t="s">
        <v>137</v>
      </c>
    </row>
    <row r="1403" spans="1:6" x14ac:dyDescent="0.25">
      <c r="A1403" t="str">
        <f>"22717803"</f>
        <v>22717803</v>
      </c>
      <c r="B1403" t="s">
        <v>1523</v>
      </c>
      <c r="C1403" t="s">
        <v>7</v>
      </c>
      <c r="D1403" t="str">
        <f t="shared" si="54"/>
        <v>563510</v>
      </c>
      <c r="E1403" t="s">
        <v>1091</v>
      </c>
      <c r="F1403" t="s">
        <v>11</v>
      </c>
    </row>
    <row r="1404" spans="1:6" x14ac:dyDescent="0.25">
      <c r="A1404" t="str">
        <f>"03408019"</f>
        <v>03408019</v>
      </c>
      <c r="B1404" t="s">
        <v>1524</v>
      </c>
      <c r="C1404" t="s">
        <v>7</v>
      </c>
      <c r="D1404" t="str">
        <f t="shared" si="54"/>
        <v>563510</v>
      </c>
      <c r="E1404" t="s">
        <v>1091</v>
      </c>
      <c r="F1404" t="s">
        <v>11</v>
      </c>
    </row>
    <row r="1405" spans="1:6" x14ac:dyDescent="0.25">
      <c r="A1405" t="str">
        <f>"22539174"</f>
        <v>22539174</v>
      </c>
      <c r="B1405" t="s">
        <v>1525</v>
      </c>
      <c r="C1405" t="s">
        <v>7</v>
      </c>
      <c r="D1405" t="str">
        <f t="shared" si="54"/>
        <v>563510</v>
      </c>
      <c r="E1405" t="s">
        <v>1091</v>
      </c>
      <c r="F1405" t="s">
        <v>11</v>
      </c>
    </row>
    <row r="1406" spans="1:6" x14ac:dyDescent="0.25">
      <c r="A1406" t="str">
        <f>"22837698"</f>
        <v>22837698</v>
      </c>
      <c r="B1406" t="s">
        <v>1526</v>
      </c>
      <c r="C1406" t="s">
        <v>7</v>
      </c>
      <c r="D1406" t="str">
        <f t="shared" si="54"/>
        <v>563510</v>
      </c>
      <c r="E1406" t="s">
        <v>1091</v>
      </c>
      <c r="F1406" t="s">
        <v>137</v>
      </c>
    </row>
    <row r="1407" spans="1:6" x14ac:dyDescent="0.25">
      <c r="A1407" t="str">
        <f>"22837604"</f>
        <v>22837604</v>
      </c>
      <c r="B1407" t="s">
        <v>1527</v>
      </c>
      <c r="C1407" t="s">
        <v>7</v>
      </c>
      <c r="D1407" t="str">
        <f t="shared" si="54"/>
        <v>563510</v>
      </c>
      <c r="E1407" t="s">
        <v>1091</v>
      </c>
      <c r="F1407" t="s">
        <v>137</v>
      </c>
    </row>
    <row r="1408" spans="1:6" x14ac:dyDescent="0.25">
      <c r="A1408" t="str">
        <f>"18035931"</f>
        <v>18035931</v>
      </c>
      <c r="B1408" t="s">
        <v>1528</v>
      </c>
      <c r="C1408" t="s">
        <v>7</v>
      </c>
      <c r="D1408" t="str">
        <f t="shared" si="54"/>
        <v>563510</v>
      </c>
      <c r="E1408" t="s">
        <v>1091</v>
      </c>
      <c r="F1408" t="s">
        <v>13</v>
      </c>
    </row>
    <row r="1409" spans="1:6" x14ac:dyDescent="0.25">
      <c r="A1409" t="str">
        <f>"60254165"</f>
        <v>60254165</v>
      </c>
      <c r="B1409" t="s">
        <v>1529</v>
      </c>
      <c r="C1409" t="s">
        <v>7</v>
      </c>
      <c r="D1409" t="str">
        <f t="shared" si="54"/>
        <v>563510</v>
      </c>
      <c r="E1409" t="s">
        <v>1091</v>
      </c>
      <c r="F1409" t="s">
        <v>381</v>
      </c>
    </row>
    <row r="1410" spans="1:6" x14ac:dyDescent="0.25">
      <c r="A1410" t="str">
        <f>"22733698"</f>
        <v>22733698</v>
      </c>
      <c r="B1410" t="s">
        <v>1530</v>
      </c>
      <c r="C1410" t="s">
        <v>7</v>
      </c>
      <c r="D1410" t="str">
        <f t="shared" si="54"/>
        <v>563510</v>
      </c>
      <c r="E1410" t="s">
        <v>1091</v>
      </c>
      <c r="F1410" t="s">
        <v>11</v>
      </c>
    </row>
    <row r="1411" spans="1:6" x14ac:dyDescent="0.25">
      <c r="A1411" t="str">
        <f>"06687741"</f>
        <v>06687741</v>
      </c>
      <c r="B1411" t="s">
        <v>1531</v>
      </c>
      <c r="C1411" t="s">
        <v>7</v>
      </c>
      <c r="D1411" t="str">
        <f t="shared" si="54"/>
        <v>563510</v>
      </c>
      <c r="E1411" t="s">
        <v>1091</v>
      </c>
      <c r="F1411" t="s">
        <v>11</v>
      </c>
    </row>
    <row r="1412" spans="1:6" x14ac:dyDescent="0.25">
      <c r="A1412" t="str">
        <f>"08786895"</f>
        <v>08786895</v>
      </c>
      <c r="B1412" t="s">
        <v>1532</v>
      </c>
      <c r="C1412" t="s">
        <v>7</v>
      </c>
      <c r="D1412" t="str">
        <f t="shared" si="54"/>
        <v>563510</v>
      </c>
      <c r="E1412" t="s">
        <v>1091</v>
      </c>
      <c r="F1412" t="s">
        <v>11</v>
      </c>
    </row>
    <row r="1413" spans="1:6" x14ac:dyDescent="0.25">
      <c r="A1413" t="str">
        <f>"66111358"</f>
        <v>66111358</v>
      </c>
      <c r="B1413" t="s">
        <v>1533</v>
      </c>
      <c r="C1413" t="s">
        <v>7</v>
      </c>
      <c r="D1413" t="str">
        <f t="shared" si="54"/>
        <v>563510</v>
      </c>
      <c r="E1413" t="s">
        <v>1091</v>
      </c>
      <c r="F1413" t="s">
        <v>11</v>
      </c>
    </row>
    <row r="1414" spans="1:6" x14ac:dyDescent="0.25">
      <c r="A1414" t="str">
        <f>"64669068"</f>
        <v>64669068</v>
      </c>
      <c r="B1414" t="s">
        <v>1534</v>
      </c>
      <c r="C1414" t="s">
        <v>7</v>
      </c>
      <c r="D1414" t="str">
        <f t="shared" si="54"/>
        <v>563510</v>
      </c>
      <c r="E1414" t="s">
        <v>1091</v>
      </c>
      <c r="F1414" t="s">
        <v>11</v>
      </c>
    </row>
    <row r="1415" spans="1:6" x14ac:dyDescent="0.25">
      <c r="A1415" t="str">
        <f>"04975189"</f>
        <v>04975189</v>
      </c>
      <c r="B1415" t="s">
        <v>1535</v>
      </c>
      <c r="C1415" t="s">
        <v>7</v>
      </c>
      <c r="D1415" t="str">
        <f t="shared" si="54"/>
        <v>563510</v>
      </c>
      <c r="E1415" t="s">
        <v>1091</v>
      </c>
      <c r="F1415" t="s">
        <v>11</v>
      </c>
    </row>
    <row r="1416" spans="1:6" x14ac:dyDescent="0.25">
      <c r="A1416" t="str">
        <f>"03603750"</f>
        <v>03603750</v>
      </c>
      <c r="B1416" t="s">
        <v>1536</v>
      </c>
      <c r="C1416" t="s">
        <v>7</v>
      </c>
      <c r="D1416" t="str">
        <f t="shared" si="54"/>
        <v>563510</v>
      </c>
      <c r="E1416" t="s">
        <v>1091</v>
      </c>
      <c r="F1416" t="s">
        <v>11</v>
      </c>
    </row>
    <row r="1417" spans="1:6" x14ac:dyDescent="0.25">
      <c r="A1417" t="str">
        <f>"43256414"</f>
        <v>43256414</v>
      </c>
      <c r="B1417" t="s">
        <v>1537</v>
      </c>
      <c r="C1417" t="s">
        <v>7</v>
      </c>
      <c r="D1417" t="str">
        <f t="shared" si="54"/>
        <v>563510</v>
      </c>
      <c r="E1417" t="s">
        <v>1091</v>
      </c>
      <c r="F1417" t="s">
        <v>11</v>
      </c>
    </row>
    <row r="1418" spans="1:6" x14ac:dyDescent="0.25">
      <c r="A1418" t="str">
        <f>"22687441"</f>
        <v>22687441</v>
      </c>
      <c r="B1418" t="s">
        <v>1538</v>
      </c>
      <c r="C1418" t="s">
        <v>7</v>
      </c>
      <c r="D1418" t="str">
        <f t="shared" si="54"/>
        <v>563510</v>
      </c>
      <c r="E1418" t="s">
        <v>1091</v>
      </c>
      <c r="F1418" t="s">
        <v>13</v>
      </c>
    </row>
    <row r="1419" spans="1:6" x14ac:dyDescent="0.25">
      <c r="A1419" t="str">
        <f>"04033264"</f>
        <v>04033264</v>
      </c>
      <c r="B1419" t="s">
        <v>1539</v>
      </c>
      <c r="C1419" t="s">
        <v>7</v>
      </c>
      <c r="D1419" t="str">
        <f t="shared" si="54"/>
        <v>563510</v>
      </c>
      <c r="E1419" t="s">
        <v>1091</v>
      </c>
      <c r="F1419" t="s">
        <v>13</v>
      </c>
    </row>
    <row r="1420" spans="1:6" x14ac:dyDescent="0.25">
      <c r="A1420" t="str">
        <f>"26623471"</f>
        <v>26623471</v>
      </c>
      <c r="B1420" t="s">
        <v>1540</v>
      </c>
      <c r="C1420" t="s">
        <v>7</v>
      </c>
      <c r="D1420" t="str">
        <f t="shared" si="54"/>
        <v>563510</v>
      </c>
      <c r="E1420" t="s">
        <v>1091</v>
      </c>
      <c r="F1420" t="s">
        <v>11</v>
      </c>
    </row>
    <row r="1421" spans="1:6" x14ac:dyDescent="0.25">
      <c r="A1421" t="str">
        <f>"22734171"</f>
        <v>22734171</v>
      </c>
      <c r="B1421" t="s">
        <v>1541</v>
      </c>
      <c r="C1421" t="s">
        <v>7</v>
      </c>
      <c r="D1421" t="str">
        <f t="shared" si="54"/>
        <v>563510</v>
      </c>
      <c r="E1421" t="s">
        <v>1091</v>
      </c>
      <c r="F1421" t="s">
        <v>13</v>
      </c>
    </row>
    <row r="1422" spans="1:6" x14ac:dyDescent="0.25">
      <c r="A1422" t="str">
        <f>"11656107"</f>
        <v>11656107</v>
      </c>
      <c r="B1422" t="s">
        <v>1542</v>
      </c>
      <c r="C1422" t="s">
        <v>7</v>
      </c>
      <c r="D1422" t="str">
        <f t="shared" si="54"/>
        <v>563510</v>
      </c>
      <c r="E1422" t="s">
        <v>1091</v>
      </c>
      <c r="F1422" t="s">
        <v>13</v>
      </c>
    </row>
    <row r="1423" spans="1:6" x14ac:dyDescent="0.25">
      <c r="A1423" t="str">
        <f>"22722009"</f>
        <v>22722009</v>
      </c>
      <c r="B1423" t="s">
        <v>1543</v>
      </c>
      <c r="C1423" t="s">
        <v>7</v>
      </c>
      <c r="D1423" t="str">
        <f t="shared" si="54"/>
        <v>563510</v>
      </c>
      <c r="E1423" t="s">
        <v>1091</v>
      </c>
      <c r="F1423" t="s">
        <v>13</v>
      </c>
    </row>
    <row r="1424" spans="1:6" x14ac:dyDescent="0.25">
      <c r="A1424" t="str">
        <f>"04668774"</f>
        <v>04668774</v>
      </c>
      <c r="B1424" t="s">
        <v>1544</v>
      </c>
      <c r="C1424" t="s">
        <v>7</v>
      </c>
      <c r="D1424" t="str">
        <f t="shared" si="54"/>
        <v>563510</v>
      </c>
      <c r="E1424" t="s">
        <v>1091</v>
      </c>
      <c r="F1424" t="s">
        <v>13</v>
      </c>
    </row>
    <row r="1425" spans="1:6" x14ac:dyDescent="0.25">
      <c r="A1425" t="str">
        <f>"22720693"</f>
        <v>22720693</v>
      </c>
      <c r="B1425" t="s">
        <v>1545</v>
      </c>
      <c r="C1425" t="s">
        <v>7</v>
      </c>
      <c r="D1425" t="str">
        <f t="shared" si="54"/>
        <v>563510</v>
      </c>
      <c r="E1425" t="s">
        <v>1091</v>
      </c>
      <c r="F1425" t="s">
        <v>1183</v>
      </c>
    </row>
    <row r="1426" spans="1:6" x14ac:dyDescent="0.25">
      <c r="A1426" t="str">
        <f>"26568454"</f>
        <v>26568454</v>
      </c>
      <c r="B1426" t="s">
        <v>1546</v>
      </c>
      <c r="C1426" t="s">
        <v>7</v>
      </c>
      <c r="D1426" t="str">
        <f t="shared" ref="D1426:D1489" si="55">"563510"</f>
        <v>563510</v>
      </c>
      <c r="E1426" t="s">
        <v>1091</v>
      </c>
      <c r="F1426" t="s">
        <v>13</v>
      </c>
    </row>
    <row r="1427" spans="1:6" x14ac:dyDescent="0.25">
      <c r="A1427" t="str">
        <f>"26615860"</f>
        <v>26615860</v>
      </c>
      <c r="B1427" t="s">
        <v>1547</v>
      </c>
      <c r="C1427" t="s">
        <v>7</v>
      </c>
      <c r="D1427" t="str">
        <f t="shared" si="55"/>
        <v>563510</v>
      </c>
      <c r="E1427" t="s">
        <v>1091</v>
      </c>
      <c r="F1427" t="s">
        <v>11</v>
      </c>
    </row>
    <row r="1428" spans="1:6" x14ac:dyDescent="0.25">
      <c r="A1428" t="str">
        <f>"05124387"</f>
        <v>05124387</v>
      </c>
      <c r="B1428" t="s">
        <v>1548</v>
      </c>
      <c r="C1428" t="s">
        <v>7</v>
      </c>
      <c r="D1428" t="str">
        <f t="shared" si="55"/>
        <v>563510</v>
      </c>
      <c r="E1428" t="s">
        <v>1091</v>
      </c>
      <c r="F1428" t="s">
        <v>13</v>
      </c>
    </row>
    <row r="1429" spans="1:6" x14ac:dyDescent="0.25">
      <c r="A1429" t="str">
        <f>"02134250"</f>
        <v>02134250</v>
      </c>
      <c r="B1429" t="s">
        <v>1549</v>
      </c>
      <c r="C1429" t="s">
        <v>7</v>
      </c>
      <c r="D1429" t="str">
        <f t="shared" si="55"/>
        <v>563510</v>
      </c>
      <c r="E1429" t="s">
        <v>1091</v>
      </c>
      <c r="F1429" t="s">
        <v>13</v>
      </c>
    </row>
    <row r="1430" spans="1:6" x14ac:dyDescent="0.25">
      <c r="A1430" t="str">
        <f>"06753426"</f>
        <v>06753426</v>
      </c>
      <c r="B1430" t="s">
        <v>1550</v>
      </c>
      <c r="C1430" t="s">
        <v>7</v>
      </c>
      <c r="D1430" t="str">
        <f t="shared" si="55"/>
        <v>563510</v>
      </c>
      <c r="E1430" t="s">
        <v>1091</v>
      </c>
      <c r="F1430" t="s">
        <v>29</v>
      </c>
    </row>
    <row r="1431" spans="1:6" x14ac:dyDescent="0.25">
      <c r="A1431" t="str">
        <f>"26553546"</f>
        <v>26553546</v>
      </c>
      <c r="B1431" t="s">
        <v>1551</v>
      </c>
      <c r="C1431" t="s">
        <v>7</v>
      </c>
      <c r="D1431" t="str">
        <f t="shared" si="55"/>
        <v>563510</v>
      </c>
      <c r="E1431" t="s">
        <v>1091</v>
      </c>
      <c r="F1431" t="s">
        <v>35</v>
      </c>
    </row>
    <row r="1432" spans="1:6" x14ac:dyDescent="0.25">
      <c r="A1432" t="str">
        <f>"22692053"</f>
        <v>22692053</v>
      </c>
      <c r="B1432" t="s">
        <v>1552</v>
      </c>
      <c r="C1432" t="s">
        <v>7</v>
      </c>
      <c r="D1432" t="str">
        <f t="shared" si="55"/>
        <v>563510</v>
      </c>
      <c r="E1432" t="s">
        <v>1091</v>
      </c>
      <c r="F1432" t="s">
        <v>328</v>
      </c>
    </row>
    <row r="1433" spans="1:6" x14ac:dyDescent="0.25">
      <c r="A1433" t="str">
        <f>"07874782"</f>
        <v>07874782</v>
      </c>
      <c r="B1433" t="s">
        <v>1553</v>
      </c>
      <c r="C1433" t="s">
        <v>7</v>
      </c>
      <c r="D1433" t="str">
        <f t="shared" si="55"/>
        <v>563510</v>
      </c>
      <c r="E1433" t="s">
        <v>1091</v>
      </c>
      <c r="F1433" t="s">
        <v>1096</v>
      </c>
    </row>
    <row r="1434" spans="1:6" x14ac:dyDescent="0.25">
      <c r="A1434" t="str">
        <f>"07612591"</f>
        <v>07612591</v>
      </c>
      <c r="B1434" t="s">
        <v>1554</v>
      </c>
      <c r="C1434" t="s">
        <v>7</v>
      </c>
      <c r="D1434" t="str">
        <f t="shared" si="55"/>
        <v>563510</v>
      </c>
      <c r="E1434" t="s">
        <v>1091</v>
      </c>
      <c r="F1434" t="s">
        <v>11</v>
      </c>
    </row>
    <row r="1435" spans="1:6" x14ac:dyDescent="0.25">
      <c r="A1435" t="str">
        <f>"07583061"</f>
        <v>07583061</v>
      </c>
      <c r="B1435" t="s">
        <v>1555</v>
      </c>
      <c r="C1435" t="s">
        <v>7</v>
      </c>
      <c r="D1435" t="str">
        <f t="shared" si="55"/>
        <v>563510</v>
      </c>
      <c r="E1435" t="s">
        <v>1091</v>
      </c>
      <c r="F1435" t="s">
        <v>11</v>
      </c>
    </row>
    <row r="1436" spans="1:6" x14ac:dyDescent="0.25">
      <c r="A1436" t="str">
        <f>"66113083"</f>
        <v>66113083</v>
      </c>
      <c r="B1436" t="s">
        <v>1556</v>
      </c>
      <c r="C1436" t="s">
        <v>7</v>
      </c>
      <c r="D1436" t="str">
        <f t="shared" si="55"/>
        <v>563510</v>
      </c>
      <c r="E1436" t="s">
        <v>1091</v>
      </c>
      <c r="F1436" t="s">
        <v>254</v>
      </c>
    </row>
    <row r="1437" spans="1:6" x14ac:dyDescent="0.25">
      <c r="A1437" t="str">
        <f>"11675195"</f>
        <v>11675195</v>
      </c>
      <c r="B1437" t="s">
        <v>1557</v>
      </c>
      <c r="C1437" t="s">
        <v>7</v>
      </c>
      <c r="D1437" t="str">
        <f t="shared" si="55"/>
        <v>563510</v>
      </c>
      <c r="E1437" t="s">
        <v>1091</v>
      </c>
      <c r="F1437" t="s">
        <v>29</v>
      </c>
    </row>
    <row r="1438" spans="1:6" x14ac:dyDescent="0.25">
      <c r="A1438" t="str">
        <f>"06146112"</f>
        <v>06146112</v>
      </c>
      <c r="B1438" t="s">
        <v>1558</v>
      </c>
      <c r="C1438" t="s">
        <v>7</v>
      </c>
      <c r="D1438" t="str">
        <f t="shared" si="55"/>
        <v>563510</v>
      </c>
      <c r="E1438" t="s">
        <v>1091</v>
      </c>
      <c r="F1438" t="s">
        <v>35</v>
      </c>
    </row>
    <row r="1439" spans="1:6" x14ac:dyDescent="0.25">
      <c r="A1439" t="str">
        <f>"22855041"</f>
        <v>22855041</v>
      </c>
      <c r="B1439" t="s">
        <v>1559</v>
      </c>
      <c r="C1439" t="s">
        <v>7</v>
      </c>
      <c r="D1439" t="str">
        <f t="shared" si="55"/>
        <v>563510</v>
      </c>
      <c r="E1439" t="s">
        <v>1091</v>
      </c>
      <c r="F1439" t="s">
        <v>35</v>
      </c>
    </row>
    <row r="1440" spans="1:6" x14ac:dyDescent="0.25">
      <c r="A1440" t="str">
        <f>"04887689"</f>
        <v>04887689</v>
      </c>
      <c r="B1440" t="s">
        <v>1560</v>
      </c>
      <c r="C1440" t="s">
        <v>7</v>
      </c>
      <c r="D1440" t="str">
        <f t="shared" si="55"/>
        <v>563510</v>
      </c>
      <c r="E1440" t="s">
        <v>1091</v>
      </c>
      <c r="F1440" t="s">
        <v>62</v>
      </c>
    </row>
    <row r="1441" spans="1:6" x14ac:dyDescent="0.25">
      <c r="A1441" t="str">
        <f>"43257470"</f>
        <v>43257470</v>
      </c>
      <c r="B1441" t="s">
        <v>1561</v>
      </c>
      <c r="C1441" t="s">
        <v>15</v>
      </c>
      <c r="D1441" t="str">
        <f t="shared" si="55"/>
        <v>563510</v>
      </c>
      <c r="E1441" t="s">
        <v>1091</v>
      </c>
      <c r="F1441" t="s">
        <v>62</v>
      </c>
    </row>
    <row r="1442" spans="1:6" x14ac:dyDescent="0.25">
      <c r="A1442" t="str">
        <f>"16388976"</f>
        <v>16388976</v>
      </c>
      <c r="B1442" t="s">
        <v>1562</v>
      </c>
      <c r="C1442" t="s">
        <v>7</v>
      </c>
      <c r="D1442" t="str">
        <f t="shared" si="55"/>
        <v>563510</v>
      </c>
      <c r="E1442" t="s">
        <v>1091</v>
      </c>
      <c r="F1442" t="s">
        <v>9</v>
      </c>
    </row>
    <row r="1443" spans="1:6" x14ac:dyDescent="0.25">
      <c r="A1443" t="str">
        <f>"60254017"</f>
        <v>60254017</v>
      </c>
      <c r="B1443" t="s">
        <v>1563</v>
      </c>
      <c r="C1443" t="s">
        <v>7</v>
      </c>
      <c r="D1443" t="str">
        <f t="shared" si="55"/>
        <v>563510</v>
      </c>
      <c r="E1443" t="s">
        <v>1091</v>
      </c>
      <c r="F1443" t="s">
        <v>9</v>
      </c>
    </row>
    <row r="1444" spans="1:6" x14ac:dyDescent="0.25">
      <c r="A1444" t="str">
        <f>"21426848"</f>
        <v>21426848</v>
      </c>
      <c r="B1444" t="s">
        <v>1564</v>
      </c>
      <c r="C1444" t="s">
        <v>7</v>
      </c>
      <c r="D1444" t="str">
        <f t="shared" si="55"/>
        <v>563510</v>
      </c>
      <c r="E1444" t="s">
        <v>1091</v>
      </c>
      <c r="F1444" t="s">
        <v>62</v>
      </c>
    </row>
    <row r="1445" spans="1:6" x14ac:dyDescent="0.25">
      <c r="A1445" t="str">
        <f>"66110131"</f>
        <v>66110131</v>
      </c>
      <c r="B1445" t="s">
        <v>1565</v>
      </c>
      <c r="C1445" t="s">
        <v>7</v>
      </c>
      <c r="D1445" t="str">
        <f t="shared" si="55"/>
        <v>563510</v>
      </c>
      <c r="E1445" t="s">
        <v>1091</v>
      </c>
      <c r="F1445" t="s">
        <v>9</v>
      </c>
    </row>
    <row r="1446" spans="1:6" x14ac:dyDescent="0.25">
      <c r="A1446" t="str">
        <f>"27003507"</f>
        <v>27003507</v>
      </c>
      <c r="B1446" t="s">
        <v>1566</v>
      </c>
      <c r="C1446" t="s">
        <v>7</v>
      </c>
      <c r="D1446" t="str">
        <f t="shared" si="55"/>
        <v>563510</v>
      </c>
      <c r="E1446" t="s">
        <v>1091</v>
      </c>
      <c r="F1446" t="s">
        <v>9</v>
      </c>
    </row>
    <row r="1447" spans="1:6" x14ac:dyDescent="0.25">
      <c r="A1447" t="str">
        <f>"60252812"</f>
        <v>60252812</v>
      </c>
      <c r="B1447" t="s">
        <v>1567</v>
      </c>
      <c r="C1447" t="s">
        <v>7</v>
      </c>
      <c r="D1447" t="str">
        <f t="shared" si="55"/>
        <v>563510</v>
      </c>
      <c r="E1447" t="s">
        <v>1091</v>
      </c>
      <c r="F1447" t="s">
        <v>9</v>
      </c>
    </row>
    <row r="1448" spans="1:6" x14ac:dyDescent="0.25">
      <c r="A1448" t="str">
        <f>"01222392"</f>
        <v>01222392</v>
      </c>
      <c r="B1448" t="s">
        <v>1568</v>
      </c>
      <c r="C1448" t="s">
        <v>7</v>
      </c>
      <c r="D1448" t="str">
        <f t="shared" si="55"/>
        <v>563510</v>
      </c>
      <c r="E1448" t="s">
        <v>1091</v>
      </c>
      <c r="F1448" t="s">
        <v>35</v>
      </c>
    </row>
    <row r="1449" spans="1:6" x14ac:dyDescent="0.25">
      <c r="A1449" t="str">
        <f>"01792059"</f>
        <v>01792059</v>
      </c>
      <c r="B1449" t="s">
        <v>1569</v>
      </c>
      <c r="C1449" t="s">
        <v>7</v>
      </c>
      <c r="D1449" t="str">
        <f t="shared" si="55"/>
        <v>563510</v>
      </c>
      <c r="E1449" t="s">
        <v>1091</v>
      </c>
      <c r="F1449" t="s">
        <v>9</v>
      </c>
    </row>
    <row r="1450" spans="1:6" x14ac:dyDescent="0.25">
      <c r="A1450" t="str">
        <f>"66110432"</f>
        <v>66110432</v>
      </c>
      <c r="B1450" t="s">
        <v>1570</v>
      </c>
      <c r="C1450" t="s">
        <v>7</v>
      </c>
      <c r="D1450" t="str">
        <f t="shared" si="55"/>
        <v>563510</v>
      </c>
      <c r="E1450" t="s">
        <v>1091</v>
      </c>
      <c r="F1450" t="s">
        <v>9</v>
      </c>
    </row>
    <row r="1451" spans="1:6" x14ac:dyDescent="0.25">
      <c r="A1451" t="str">
        <f>"28557905"</f>
        <v>28557905</v>
      </c>
      <c r="B1451" t="s">
        <v>1571</v>
      </c>
      <c r="C1451" t="s">
        <v>7</v>
      </c>
      <c r="D1451" t="str">
        <f t="shared" si="55"/>
        <v>563510</v>
      </c>
      <c r="E1451" t="s">
        <v>1091</v>
      </c>
      <c r="F1451" t="s">
        <v>35</v>
      </c>
    </row>
    <row r="1452" spans="1:6" x14ac:dyDescent="0.25">
      <c r="A1452" t="str">
        <f>"22859390"</f>
        <v>22859390</v>
      </c>
      <c r="B1452" t="s">
        <v>1572</v>
      </c>
      <c r="C1452" t="s">
        <v>7</v>
      </c>
      <c r="D1452" t="str">
        <f t="shared" si="55"/>
        <v>563510</v>
      </c>
      <c r="E1452" t="s">
        <v>1091</v>
      </c>
      <c r="F1452" t="s">
        <v>35</v>
      </c>
    </row>
    <row r="1453" spans="1:6" x14ac:dyDescent="0.25">
      <c r="A1453" t="str">
        <f>"70201188"</f>
        <v>70201188</v>
      </c>
      <c r="B1453" t="s">
        <v>1573</v>
      </c>
      <c r="C1453" t="s">
        <v>7</v>
      </c>
      <c r="D1453" t="str">
        <f t="shared" si="55"/>
        <v>563510</v>
      </c>
      <c r="E1453" t="s">
        <v>1091</v>
      </c>
      <c r="F1453" t="s">
        <v>35</v>
      </c>
    </row>
    <row r="1454" spans="1:6" x14ac:dyDescent="0.25">
      <c r="A1454" t="str">
        <f>"23003197"</f>
        <v>23003197</v>
      </c>
      <c r="B1454" t="s">
        <v>1574</v>
      </c>
      <c r="C1454" t="s">
        <v>7</v>
      </c>
      <c r="D1454" t="str">
        <f t="shared" si="55"/>
        <v>563510</v>
      </c>
      <c r="E1454" t="s">
        <v>1091</v>
      </c>
      <c r="F1454" t="s">
        <v>62</v>
      </c>
    </row>
    <row r="1455" spans="1:6" x14ac:dyDescent="0.25">
      <c r="A1455" t="str">
        <f>"68455402"</f>
        <v>68455402</v>
      </c>
      <c r="B1455" t="s">
        <v>1575</v>
      </c>
      <c r="C1455" t="s">
        <v>7</v>
      </c>
      <c r="D1455" t="str">
        <f t="shared" si="55"/>
        <v>563510</v>
      </c>
      <c r="E1455" t="s">
        <v>1091</v>
      </c>
      <c r="F1455" t="s">
        <v>35</v>
      </c>
    </row>
    <row r="1456" spans="1:6" x14ac:dyDescent="0.25">
      <c r="A1456" t="str">
        <f>"22877223"</f>
        <v>22877223</v>
      </c>
      <c r="B1456" t="s">
        <v>1576</v>
      </c>
      <c r="C1456" t="s">
        <v>7</v>
      </c>
      <c r="D1456" t="str">
        <f t="shared" si="55"/>
        <v>563510</v>
      </c>
      <c r="E1456" t="s">
        <v>1091</v>
      </c>
      <c r="F1456" t="s">
        <v>18</v>
      </c>
    </row>
    <row r="1457" spans="1:6" x14ac:dyDescent="0.25">
      <c r="A1457" t="str">
        <f>"11821698"</f>
        <v>11821698</v>
      </c>
      <c r="B1457" t="s">
        <v>1577</v>
      </c>
      <c r="C1457" t="s">
        <v>7</v>
      </c>
      <c r="D1457" t="str">
        <f t="shared" si="55"/>
        <v>563510</v>
      </c>
      <c r="E1457" t="s">
        <v>1091</v>
      </c>
      <c r="F1457" t="s">
        <v>13</v>
      </c>
    </row>
    <row r="1458" spans="1:6" x14ac:dyDescent="0.25">
      <c r="A1458" t="str">
        <f>"14098539"</f>
        <v>14098539</v>
      </c>
      <c r="B1458" t="s">
        <v>1578</v>
      </c>
      <c r="C1458" t="s">
        <v>7</v>
      </c>
      <c r="D1458" t="str">
        <f t="shared" si="55"/>
        <v>563510</v>
      </c>
      <c r="E1458" t="s">
        <v>1091</v>
      </c>
      <c r="F1458" t="s">
        <v>62</v>
      </c>
    </row>
    <row r="1459" spans="1:6" x14ac:dyDescent="0.25">
      <c r="A1459" t="str">
        <f>"27042570"</f>
        <v>27042570</v>
      </c>
      <c r="B1459" t="s">
        <v>1579</v>
      </c>
      <c r="C1459" t="s">
        <v>7</v>
      </c>
      <c r="D1459" t="str">
        <f t="shared" si="55"/>
        <v>563510</v>
      </c>
      <c r="E1459" t="s">
        <v>1091</v>
      </c>
      <c r="F1459" t="s">
        <v>11</v>
      </c>
    </row>
    <row r="1460" spans="1:6" x14ac:dyDescent="0.25">
      <c r="A1460" t="str">
        <f>"26534819"</f>
        <v>26534819</v>
      </c>
      <c r="B1460" t="s">
        <v>1580</v>
      </c>
      <c r="C1460" t="s">
        <v>7</v>
      </c>
      <c r="D1460" t="str">
        <f t="shared" si="55"/>
        <v>563510</v>
      </c>
      <c r="E1460" t="s">
        <v>1091</v>
      </c>
      <c r="F1460" t="s">
        <v>11</v>
      </c>
    </row>
    <row r="1461" spans="1:6" x14ac:dyDescent="0.25">
      <c r="A1461" t="str">
        <f>"73631485"</f>
        <v>73631485</v>
      </c>
      <c r="B1461" t="s">
        <v>1581</v>
      </c>
      <c r="C1461" t="s">
        <v>43</v>
      </c>
      <c r="D1461" t="str">
        <f t="shared" si="55"/>
        <v>563510</v>
      </c>
      <c r="E1461" t="s">
        <v>1091</v>
      </c>
      <c r="F1461" t="s">
        <v>44</v>
      </c>
    </row>
    <row r="1462" spans="1:6" x14ac:dyDescent="0.25">
      <c r="A1462" t="str">
        <f>"26614162"</f>
        <v>26614162</v>
      </c>
      <c r="B1462" t="s">
        <v>1582</v>
      </c>
      <c r="C1462" t="s">
        <v>7</v>
      </c>
      <c r="D1462" t="str">
        <f t="shared" si="55"/>
        <v>563510</v>
      </c>
      <c r="E1462" t="s">
        <v>1091</v>
      </c>
      <c r="F1462" t="s">
        <v>11</v>
      </c>
    </row>
    <row r="1463" spans="1:6" x14ac:dyDescent="0.25">
      <c r="A1463" t="str">
        <f>"26642956"</f>
        <v>26642956</v>
      </c>
      <c r="B1463" t="s">
        <v>1583</v>
      </c>
      <c r="C1463" t="s">
        <v>7</v>
      </c>
      <c r="D1463" t="str">
        <f t="shared" si="55"/>
        <v>563510</v>
      </c>
      <c r="E1463" t="s">
        <v>1091</v>
      </c>
      <c r="F1463" t="s">
        <v>11</v>
      </c>
    </row>
    <row r="1464" spans="1:6" x14ac:dyDescent="0.25">
      <c r="A1464" t="str">
        <f>"02295873"</f>
        <v>02295873</v>
      </c>
      <c r="B1464" t="s">
        <v>1584</v>
      </c>
      <c r="C1464" t="s">
        <v>7</v>
      </c>
      <c r="D1464" t="str">
        <f t="shared" si="55"/>
        <v>563510</v>
      </c>
      <c r="E1464" t="s">
        <v>1091</v>
      </c>
      <c r="F1464" t="s">
        <v>11</v>
      </c>
    </row>
    <row r="1465" spans="1:6" x14ac:dyDescent="0.25">
      <c r="A1465" t="str">
        <f>"71184414"</f>
        <v>71184414</v>
      </c>
      <c r="B1465" t="s">
        <v>1585</v>
      </c>
      <c r="C1465" t="s">
        <v>15</v>
      </c>
      <c r="D1465" t="str">
        <f t="shared" si="55"/>
        <v>563510</v>
      </c>
      <c r="E1465" t="s">
        <v>1091</v>
      </c>
      <c r="F1465" t="s">
        <v>11</v>
      </c>
    </row>
    <row r="1466" spans="1:6" x14ac:dyDescent="0.25">
      <c r="A1466" t="str">
        <f>"05837154"</f>
        <v>05837154</v>
      </c>
      <c r="B1466" t="s">
        <v>1586</v>
      </c>
      <c r="C1466" t="s">
        <v>7</v>
      </c>
      <c r="D1466" t="str">
        <f t="shared" si="55"/>
        <v>563510</v>
      </c>
      <c r="E1466" t="s">
        <v>1091</v>
      </c>
      <c r="F1466" t="s">
        <v>11</v>
      </c>
    </row>
    <row r="1467" spans="1:6" x14ac:dyDescent="0.25">
      <c r="A1467" t="str">
        <f>"71193316"</f>
        <v>71193316</v>
      </c>
      <c r="B1467" t="s">
        <v>1587</v>
      </c>
      <c r="C1467" t="s">
        <v>15</v>
      </c>
      <c r="D1467" t="str">
        <f t="shared" si="55"/>
        <v>563510</v>
      </c>
      <c r="E1467" t="s">
        <v>1091</v>
      </c>
      <c r="F1467" t="s">
        <v>137</v>
      </c>
    </row>
    <row r="1468" spans="1:6" x14ac:dyDescent="0.25">
      <c r="A1468" t="str">
        <f>"64669211"</f>
        <v>64669211</v>
      </c>
      <c r="B1468" t="s">
        <v>1588</v>
      </c>
      <c r="C1468" t="s">
        <v>15</v>
      </c>
      <c r="D1468" t="str">
        <f t="shared" si="55"/>
        <v>563510</v>
      </c>
      <c r="E1468" t="s">
        <v>1091</v>
      </c>
      <c r="F1468" t="s">
        <v>11</v>
      </c>
    </row>
    <row r="1469" spans="1:6" x14ac:dyDescent="0.25">
      <c r="A1469" t="str">
        <f>"60253657"</f>
        <v>60253657</v>
      </c>
      <c r="B1469" t="s">
        <v>1589</v>
      </c>
      <c r="C1469" t="s">
        <v>15</v>
      </c>
      <c r="D1469" t="str">
        <f t="shared" si="55"/>
        <v>563510</v>
      </c>
      <c r="E1469" t="s">
        <v>1091</v>
      </c>
      <c r="F1469" t="s">
        <v>11</v>
      </c>
    </row>
    <row r="1470" spans="1:6" x14ac:dyDescent="0.25">
      <c r="A1470" t="str">
        <f>"71165347"</f>
        <v>71165347</v>
      </c>
      <c r="B1470" t="s">
        <v>1590</v>
      </c>
      <c r="C1470" t="s">
        <v>15</v>
      </c>
      <c r="D1470" t="str">
        <f t="shared" si="55"/>
        <v>563510</v>
      </c>
      <c r="E1470" t="s">
        <v>1091</v>
      </c>
      <c r="F1470" t="s">
        <v>137</v>
      </c>
    </row>
    <row r="1471" spans="1:6" x14ac:dyDescent="0.25">
      <c r="A1471" t="str">
        <f>"71152563"</f>
        <v>71152563</v>
      </c>
      <c r="B1471" t="s">
        <v>1591</v>
      </c>
      <c r="C1471" t="s">
        <v>15</v>
      </c>
      <c r="D1471" t="str">
        <f t="shared" si="55"/>
        <v>563510</v>
      </c>
      <c r="E1471" t="s">
        <v>1091</v>
      </c>
      <c r="F1471" t="s">
        <v>11</v>
      </c>
    </row>
    <row r="1472" spans="1:6" x14ac:dyDescent="0.25">
      <c r="A1472" t="str">
        <f>"04663039"</f>
        <v>04663039</v>
      </c>
      <c r="B1472" t="s">
        <v>1592</v>
      </c>
      <c r="C1472" t="s">
        <v>7</v>
      </c>
      <c r="D1472" t="str">
        <f t="shared" si="55"/>
        <v>563510</v>
      </c>
      <c r="E1472" t="s">
        <v>1091</v>
      </c>
      <c r="F1472" t="s">
        <v>11</v>
      </c>
    </row>
    <row r="1473" spans="1:6" x14ac:dyDescent="0.25">
      <c r="A1473" t="str">
        <f>"25048350"</f>
        <v>25048350</v>
      </c>
      <c r="B1473" t="s">
        <v>1593</v>
      </c>
      <c r="C1473" t="s">
        <v>78</v>
      </c>
      <c r="D1473" t="str">
        <f t="shared" si="55"/>
        <v>563510</v>
      </c>
      <c r="E1473" t="s">
        <v>1091</v>
      </c>
      <c r="F1473" t="s">
        <v>1594</v>
      </c>
    </row>
    <row r="1474" spans="1:6" x14ac:dyDescent="0.25">
      <c r="A1474" t="str">
        <f>"17494591"</f>
        <v>17494591</v>
      </c>
      <c r="B1474" t="s">
        <v>1595</v>
      </c>
      <c r="C1474" t="s">
        <v>7</v>
      </c>
      <c r="D1474" t="str">
        <f t="shared" si="55"/>
        <v>563510</v>
      </c>
      <c r="E1474" t="s">
        <v>1091</v>
      </c>
      <c r="F1474" t="s">
        <v>29</v>
      </c>
    </row>
    <row r="1475" spans="1:6" x14ac:dyDescent="0.25">
      <c r="A1475" t="str">
        <f>"63155869"</f>
        <v>63155869</v>
      </c>
      <c r="B1475" t="s">
        <v>1596</v>
      </c>
      <c r="C1475" t="s">
        <v>7</v>
      </c>
      <c r="D1475" t="str">
        <f t="shared" si="55"/>
        <v>563510</v>
      </c>
      <c r="E1475" t="s">
        <v>1091</v>
      </c>
      <c r="F1475" t="s">
        <v>11</v>
      </c>
    </row>
    <row r="1476" spans="1:6" x14ac:dyDescent="0.25">
      <c r="A1476" t="str">
        <f>"68455895"</f>
        <v>68455895</v>
      </c>
      <c r="B1476" t="s">
        <v>1597</v>
      </c>
      <c r="C1476" t="s">
        <v>7</v>
      </c>
      <c r="D1476" t="str">
        <f t="shared" si="55"/>
        <v>563510</v>
      </c>
      <c r="E1476" t="s">
        <v>1091</v>
      </c>
      <c r="F1476" t="s">
        <v>11</v>
      </c>
    </row>
    <row r="1477" spans="1:6" x14ac:dyDescent="0.25">
      <c r="A1477" t="str">
        <f>"06779743"</f>
        <v>06779743</v>
      </c>
      <c r="B1477" t="s">
        <v>1598</v>
      </c>
      <c r="C1477" t="s">
        <v>7</v>
      </c>
      <c r="D1477" t="str">
        <f t="shared" si="55"/>
        <v>563510</v>
      </c>
      <c r="E1477" t="s">
        <v>1091</v>
      </c>
      <c r="F1477" t="s">
        <v>29</v>
      </c>
    </row>
    <row r="1478" spans="1:6" x14ac:dyDescent="0.25">
      <c r="A1478" t="str">
        <f>"21634360"</f>
        <v>21634360</v>
      </c>
      <c r="B1478" t="s">
        <v>1599</v>
      </c>
      <c r="C1478" t="s">
        <v>7</v>
      </c>
      <c r="D1478" t="str">
        <f t="shared" si="55"/>
        <v>563510</v>
      </c>
      <c r="E1478" t="s">
        <v>1091</v>
      </c>
      <c r="F1478" t="s">
        <v>62</v>
      </c>
    </row>
    <row r="1479" spans="1:6" x14ac:dyDescent="0.25">
      <c r="A1479" t="str">
        <f>"26635364"</f>
        <v>26635364</v>
      </c>
      <c r="B1479" t="s">
        <v>1600</v>
      </c>
      <c r="C1479" t="s">
        <v>7</v>
      </c>
      <c r="D1479" t="str">
        <f t="shared" si="55"/>
        <v>563510</v>
      </c>
      <c r="E1479" t="s">
        <v>1091</v>
      </c>
      <c r="F1479" t="s">
        <v>11</v>
      </c>
    </row>
    <row r="1480" spans="1:6" x14ac:dyDescent="0.25">
      <c r="A1480" t="str">
        <f>"69898359"</f>
        <v>69898359</v>
      </c>
      <c r="B1480" t="s">
        <v>1601</v>
      </c>
      <c r="C1480" t="s">
        <v>7</v>
      </c>
      <c r="D1480" t="str">
        <f t="shared" si="55"/>
        <v>563510</v>
      </c>
      <c r="E1480" t="s">
        <v>1091</v>
      </c>
      <c r="F1480" t="s">
        <v>35</v>
      </c>
    </row>
    <row r="1481" spans="1:6" x14ac:dyDescent="0.25">
      <c r="A1481" t="str">
        <f>"60253991"</f>
        <v>60253991</v>
      </c>
      <c r="B1481" t="s">
        <v>1602</v>
      </c>
      <c r="C1481" t="s">
        <v>7</v>
      </c>
      <c r="D1481" t="str">
        <f t="shared" si="55"/>
        <v>563510</v>
      </c>
      <c r="E1481" t="s">
        <v>1091</v>
      </c>
      <c r="F1481" t="s">
        <v>9</v>
      </c>
    </row>
    <row r="1482" spans="1:6" x14ac:dyDescent="0.25">
      <c r="A1482" t="str">
        <f>"75076624"</f>
        <v>75076624</v>
      </c>
      <c r="B1482" t="s">
        <v>1603</v>
      </c>
      <c r="C1482" t="s">
        <v>15</v>
      </c>
      <c r="D1482" t="str">
        <f t="shared" si="55"/>
        <v>563510</v>
      </c>
      <c r="E1482" t="s">
        <v>1091</v>
      </c>
      <c r="F1482" t="s">
        <v>11</v>
      </c>
    </row>
    <row r="1483" spans="1:6" x14ac:dyDescent="0.25">
      <c r="A1483" t="str">
        <f>"09435514"</f>
        <v>09435514</v>
      </c>
      <c r="B1483" t="s">
        <v>1604</v>
      </c>
      <c r="C1483" t="s">
        <v>15</v>
      </c>
      <c r="D1483" t="str">
        <f t="shared" si="55"/>
        <v>563510</v>
      </c>
      <c r="E1483" t="s">
        <v>1091</v>
      </c>
      <c r="F1483" t="s">
        <v>328</v>
      </c>
    </row>
    <row r="1484" spans="1:6" x14ac:dyDescent="0.25">
      <c r="A1484" t="str">
        <f>"26583216"</f>
        <v>26583216</v>
      </c>
      <c r="B1484" t="s">
        <v>1605</v>
      </c>
      <c r="C1484" t="s">
        <v>7</v>
      </c>
      <c r="D1484" t="str">
        <f t="shared" si="55"/>
        <v>563510</v>
      </c>
      <c r="E1484" t="s">
        <v>1091</v>
      </c>
      <c r="F1484" t="s">
        <v>139</v>
      </c>
    </row>
    <row r="1485" spans="1:6" x14ac:dyDescent="0.25">
      <c r="A1485" t="str">
        <f>"26643961"</f>
        <v>26643961</v>
      </c>
      <c r="B1485" t="s">
        <v>1606</v>
      </c>
      <c r="C1485" t="s">
        <v>7</v>
      </c>
      <c r="D1485" t="str">
        <f t="shared" si="55"/>
        <v>563510</v>
      </c>
      <c r="E1485" t="s">
        <v>1091</v>
      </c>
      <c r="F1485" t="s">
        <v>9</v>
      </c>
    </row>
    <row r="1486" spans="1:6" x14ac:dyDescent="0.25">
      <c r="A1486" t="str">
        <f>"60254424"</f>
        <v>60254424</v>
      </c>
      <c r="B1486" t="s">
        <v>1607</v>
      </c>
      <c r="C1486" t="s">
        <v>7</v>
      </c>
      <c r="D1486" t="str">
        <f t="shared" si="55"/>
        <v>563510</v>
      </c>
      <c r="E1486" t="s">
        <v>1091</v>
      </c>
      <c r="F1486" t="s">
        <v>11</v>
      </c>
    </row>
    <row r="1487" spans="1:6" x14ac:dyDescent="0.25">
      <c r="A1487" t="str">
        <f>"60252260"</f>
        <v>60252260</v>
      </c>
      <c r="B1487" t="s">
        <v>1608</v>
      </c>
      <c r="C1487" t="s">
        <v>15</v>
      </c>
      <c r="D1487" t="str">
        <f t="shared" si="55"/>
        <v>563510</v>
      </c>
      <c r="E1487" t="s">
        <v>1091</v>
      </c>
      <c r="F1487" t="s">
        <v>9</v>
      </c>
    </row>
    <row r="1488" spans="1:6" x14ac:dyDescent="0.25">
      <c r="A1488" t="str">
        <f>"64668789"</f>
        <v>64668789</v>
      </c>
      <c r="B1488" t="s">
        <v>1609</v>
      </c>
      <c r="C1488" t="s">
        <v>7</v>
      </c>
      <c r="D1488" t="str">
        <f t="shared" si="55"/>
        <v>563510</v>
      </c>
      <c r="E1488" t="s">
        <v>1091</v>
      </c>
      <c r="F1488" t="s">
        <v>9</v>
      </c>
    </row>
    <row r="1489" spans="1:6" x14ac:dyDescent="0.25">
      <c r="A1489" t="str">
        <f>"16389948"</f>
        <v>16389948</v>
      </c>
      <c r="B1489" t="s">
        <v>1610</v>
      </c>
      <c r="C1489" t="s">
        <v>7</v>
      </c>
      <c r="D1489" t="str">
        <f t="shared" si="55"/>
        <v>563510</v>
      </c>
      <c r="E1489" t="s">
        <v>1091</v>
      </c>
      <c r="F1489" t="s">
        <v>9</v>
      </c>
    </row>
    <row r="1490" spans="1:6" x14ac:dyDescent="0.25">
      <c r="A1490" t="str">
        <f>"00526690"</f>
        <v>00526690</v>
      </c>
      <c r="B1490" t="s">
        <v>1611</v>
      </c>
      <c r="C1490" t="s">
        <v>7</v>
      </c>
      <c r="D1490" t="str">
        <f t="shared" ref="D1490:D1553" si="56">"563510"</f>
        <v>563510</v>
      </c>
      <c r="E1490" t="s">
        <v>1091</v>
      </c>
      <c r="F1490" t="s">
        <v>9</v>
      </c>
    </row>
    <row r="1491" spans="1:6" x14ac:dyDescent="0.25">
      <c r="A1491" t="str">
        <f>"16389506"</f>
        <v>16389506</v>
      </c>
      <c r="B1491" t="s">
        <v>1612</v>
      </c>
      <c r="C1491" t="s">
        <v>7</v>
      </c>
      <c r="D1491" t="str">
        <f t="shared" si="56"/>
        <v>563510</v>
      </c>
      <c r="E1491" t="s">
        <v>1091</v>
      </c>
      <c r="F1491" t="s">
        <v>9</v>
      </c>
    </row>
    <row r="1492" spans="1:6" x14ac:dyDescent="0.25">
      <c r="A1492" t="str">
        <f>"64669360"</f>
        <v>64669360</v>
      </c>
      <c r="B1492" t="s">
        <v>1613</v>
      </c>
      <c r="C1492" t="s">
        <v>7</v>
      </c>
      <c r="D1492" t="str">
        <f t="shared" si="56"/>
        <v>563510</v>
      </c>
      <c r="E1492" t="s">
        <v>1091</v>
      </c>
      <c r="F1492" t="s">
        <v>9</v>
      </c>
    </row>
    <row r="1493" spans="1:6" x14ac:dyDescent="0.25">
      <c r="A1493" t="str">
        <f>"01835165"</f>
        <v>01835165</v>
      </c>
      <c r="B1493" t="s">
        <v>1614</v>
      </c>
      <c r="C1493" t="s">
        <v>7</v>
      </c>
      <c r="D1493" t="str">
        <f t="shared" si="56"/>
        <v>563510</v>
      </c>
      <c r="E1493" t="s">
        <v>1091</v>
      </c>
      <c r="F1493" t="s">
        <v>9</v>
      </c>
    </row>
    <row r="1494" spans="1:6" x14ac:dyDescent="0.25">
      <c r="A1494" t="str">
        <f>"22843868"</f>
        <v>22843868</v>
      </c>
      <c r="B1494" t="s">
        <v>1615</v>
      </c>
      <c r="C1494" t="s">
        <v>7</v>
      </c>
      <c r="D1494" t="str">
        <f t="shared" si="56"/>
        <v>563510</v>
      </c>
      <c r="E1494" t="s">
        <v>1091</v>
      </c>
      <c r="F1494" t="s">
        <v>9</v>
      </c>
    </row>
    <row r="1495" spans="1:6" x14ac:dyDescent="0.25">
      <c r="A1495" t="str">
        <f>"14864991"</f>
        <v>14864991</v>
      </c>
      <c r="B1495" t="s">
        <v>1616</v>
      </c>
      <c r="C1495" t="s">
        <v>7</v>
      </c>
      <c r="D1495" t="str">
        <f t="shared" si="56"/>
        <v>563510</v>
      </c>
      <c r="E1495" t="s">
        <v>1091</v>
      </c>
      <c r="F1495" t="s">
        <v>9</v>
      </c>
    </row>
    <row r="1496" spans="1:6" x14ac:dyDescent="0.25">
      <c r="A1496" t="str">
        <f>"69291730"</f>
        <v>69291730</v>
      </c>
      <c r="B1496" t="s">
        <v>1617</v>
      </c>
      <c r="C1496" t="s">
        <v>7</v>
      </c>
      <c r="D1496" t="str">
        <f t="shared" si="56"/>
        <v>563510</v>
      </c>
      <c r="E1496" t="s">
        <v>1091</v>
      </c>
      <c r="F1496" t="s">
        <v>65</v>
      </c>
    </row>
    <row r="1497" spans="1:6" x14ac:dyDescent="0.25">
      <c r="A1497" t="str">
        <f>"02498693"</f>
        <v>02498693</v>
      </c>
      <c r="B1497" t="s">
        <v>1618</v>
      </c>
      <c r="C1497" t="s">
        <v>7</v>
      </c>
      <c r="D1497" t="str">
        <f t="shared" si="56"/>
        <v>563510</v>
      </c>
      <c r="E1497" t="s">
        <v>1091</v>
      </c>
      <c r="F1497" t="s">
        <v>9</v>
      </c>
    </row>
    <row r="1498" spans="1:6" x14ac:dyDescent="0.25">
      <c r="A1498" t="str">
        <f>"05534160"</f>
        <v>05534160</v>
      </c>
      <c r="B1498" t="s">
        <v>1619</v>
      </c>
      <c r="C1498" t="s">
        <v>7</v>
      </c>
      <c r="D1498" t="str">
        <f t="shared" si="56"/>
        <v>563510</v>
      </c>
      <c r="E1498" t="s">
        <v>1091</v>
      </c>
      <c r="F1498" t="s">
        <v>9</v>
      </c>
    </row>
    <row r="1499" spans="1:6" x14ac:dyDescent="0.25">
      <c r="A1499" t="str">
        <f>"43256775"</f>
        <v>43256775</v>
      </c>
      <c r="B1499" t="s">
        <v>1620</v>
      </c>
      <c r="C1499" t="s">
        <v>7</v>
      </c>
      <c r="D1499" t="str">
        <f t="shared" si="56"/>
        <v>563510</v>
      </c>
      <c r="E1499" t="s">
        <v>1091</v>
      </c>
      <c r="F1499" t="s">
        <v>9</v>
      </c>
    </row>
    <row r="1500" spans="1:6" x14ac:dyDescent="0.25">
      <c r="A1500" t="str">
        <f>"00380245"</f>
        <v>00380245</v>
      </c>
      <c r="B1500" t="s">
        <v>1621</v>
      </c>
      <c r="C1500" t="s">
        <v>7</v>
      </c>
      <c r="D1500" t="str">
        <f t="shared" si="56"/>
        <v>563510</v>
      </c>
      <c r="E1500" t="s">
        <v>1091</v>
      </c>
      <c r="F1500" t="s">
        <v>9</v>
      </c>
    </row>
    <row r="1501" spans="1:6" x14ac:dyDescent="0.25">
      <c r="A1501" t="str">
        <f>"22720715"</f>
        <v>22720715</v>
      </c>
      <c r="B1501" t="s">
        <v>1622</v>
      </c>
      <c r="C1501" t="s">
        <v>7</v>
      </c>
      <c r="D1501" t="str">
        <f t="shared" si="56"/>
        <v>563510</v>
      </c>
      <c r="E1501" t="s">
        <v>1091</v>
      </c>
      <c r="F1501" t="s">
        <v>9</v>
      </c>
    </row>
    <row r="1502" spans="1:6" x14ac:dyDescent="0.25">
      <c r="A1502" t="str">
        <f>"64668495"</f>
        <v>64668495</v>
      </c>
      <c r="B1502" t="s">
        <v>1623</v>
      </c>
      <c r="C1502" t="s">
        <v>7</v>
      </c>
      <c r="D1502" t="str">
        <f t="shared" si="56"/>
        <v>563510</v>
      </c>
      <c r="E1502" t="s">
        <v>1091</v>
      </c>
      <c r="F1502" t="s">
        <v>9</v>
      </c>
    </row>
    <row r="1503" spans="1:6" x14ac:dyDescent="0.25">
      <c r="A1503" t="str">
        <f>"26611309"</f>
        <v>26611309</v>
      </c>
      <c r="B1503" t="s">
        <v>1624</v>
      </c>
      <c r="C1503" t="s">
        <v>7</v>
      </c>
      <c r="D1503" t="str">
        <f t="shared" si="56"/>
        <v>563510</v>
      </c>
      <c r="E1503" t="s">
        <v>1091</v>
      </c>
      <c r="F1503" t="s">
        <v>9</v>
      </c>
    </row>
    <row r="1504" spans="1:6" x14ac:dyDescent="0.25">
      <c r="A1504" t="str">
        <f>"75125501"</f>
        <v>75125501</v>
      </c>
      <c r="B1504" t="s">
        <v>1625</v>
      </c>
      <c r="C1504" t="s">
        <v>7</v>
      </c>
      <c r="D1504" t="str">
        <f t="shared" si="56"/>
        <v>563510</v>
      </c>
      <c r="E1504" t="s">
        <v>1091</v>
      </c>
      <c r="F1504" t="s">
        <v>65</v>
      </c>
    </row>
    <row r="1505" spans="1:6" x14ac:dyDescent="0.25">
      <c r="A1505" t="str">
        <f>"16389158"</f>
        <v>16389158</v>
      </c>
      <c r="B1505" t="s">
        <v>1626</v>
      </c>
      <c r="C1505" t="s">
        <v>7</v>
      </c>
      <c r="D1505" t="str">
        <f t="shared" si="56"/>
        <v>563510</v>
      </c>
      <c r="E1505" t="s">
        <v>1091</v>
      </c>
      <c r="F1505" t="s">
        <v>9</v>
      </c>
    </row>
    <row r="1506" spans="1:6" x14ac:dyDescent="0.25">
      <c r="A1506" t="str">
        <f>"16389557"</f>
        <v>16389557</v>
      </c>
      <c r="B1506" t="s">
        <v>1627</v>
      </c>
      <c r="C1506" t="s">
        <v>7</v>
      </c>
      <c r="D1506" t="str">
        <f t="shared" si="56"/>
        <v>563510</v>
      </c>
      <c r="E1506" t="s">
        <v>1091</v>
      </c>
      <c r="F1506" t="s">
        <v>9</v>
      </c>
    </row>
    <row r="1507" spans="1:6" x14ac:dyDescent="0.25">
      <c r="A1507" t="str">
        <f>"01791966"</f>
        <v>01791966</v>
      </c>
      <c r="B1507" t="s">
        <v>1628</v>
      </c>
      <c r="C1507" t="s">
        <v>7</v>
      </c>
      <c r="D1507" t="str">
        <f t="shared" si="56"/>
        <v>563510</v>
      </c>
      <c r="E1507" t="s">
        <v>1091</v>
      </c>
      <c r="F1507" t="s">
        <v>9</v>
      </c>
    </row>
    <row r="1508" spans="1:6" x14ac:dyDescent="0.25">
      <c r="A1508" t="str">
        <f>"43257712"</f>
        <v>43257712</v>
      </c>
      <c r="B1508" t="s">
        <v>1629</v>
      </c>
      <c r="C1508" t="s">
        <v>7</v>
      </c>
      <c r="D1508" t="str">
        <f t="shared" si="56"/>
        <v>563510</v>
      </c>
      <c r="E1508" t="s">
        <v>1091</v>
      </c>
      <c r="F1508" t="s">
        <v>9</v>
      </c>
    </row>
    <row r="1509" spans="1:6" x14ac:dyDescent="0.25">
      <c r="A1509" t="str">
        <f>"16389387"</f>
        <v>16389387</v>
      </c>
      <c r="B1509" t="s">
        <v>1630</v>
      </c>
      <c r="C1509" t="s">
        <v>7</v>
      </c>
      <c r="D1509" t="str">
        <f t="shared" si="56"/>
        <v>563510</v>
      </c>
      <c r="E1509" t="s">
        <v>1091</v>
      </c>
      <c r="F1509" t="s">
        <v>9</v>
      </c>
    </row>
    <row r="1510" spans="1:6" x14ac:dyDescent="0.25">
      <c r="A1510" t="str">
        <f>"16389131"</f>
        <v>16389131</v>
      </c>
      <c r="B1510" t="s">
        <v>1631</v>
      </c>
      <c r="C1510" t="s">
        <v>7</v>
      </c>
      <c r="D1510" t="str">
        <f t="shared" si="56"/>
        <v>563510</v>
      </c>
      <c r="E1510" t="s">
        <v>1091</v>
      </c>
      <c r="F1510" t="s">
        <v>9</v>
      </c>
    </row>
    <row r="1511" spans="1:6" x14ac:dyDescent="0.25">
      <c r="A1511" t="str">
        <f>"64669351"</f>
        <v>64669351</v>
      </c>
      <c r="B1511" t="s">
        <v>1632</v>
      </c>
      <c r="C1511" t="s">
        <v>7</v>
      </c>
      <c r="D1511" t="str">
        <f t="shared" si="56"/>
        <v>563510</v>
      </c>
      <c r="E1511" t="s">
        <v>1091</v>
      </c>
      <c r="F1511" t="s">
        <v>9</v>
      </c>
    </row>
    <row r="1512" spans="1:6" x14ac:dyDescent="0.25">
      <c r="A1512" t="str">
        <f>"43256261"</f>
        <v>43256261</v>
      </c>
      <c r="B1512" t="s">
        <v>1633</v>
      </c>
      <c r="C1512" t="s">
        <v>7</v>
      </c>
      <c r="D1512" t="str">
        <f t="shared" si="56"/>
        <v>563510</v>
      </c>
      <c r="E1512" t="s">
        <v>1091</v>
      </c>
      <c r="F1512" t="s">
        <v>9</v>
      </c>
    </row>
    <row r="1513" spans="1:6" x14ac:dyDescent="0.25">
      <c r="A1513" t="str">
        <f>"26642794"</f>
        <v>26642794</v>
      </c>
      <c r="B1513" t="s">
        <v>1634</v>
      </c>
      <c r="C1513" t="s">
        <v>7</v>
      </c>
      <c r="D1513" t="str">
        <f t="shared" si="56"/>
        <v>563510</v>
      </c>
      <c r="E1513" t="s">
        <v>1091</v>
      </c>
      <c r="F1513" t="s">
        <v>11</v>
      </c>
    </row>
    <row r="1514" spans="1:6" x14ac:dyDescent="0.25">
      <c r="A1514" t="str">
        <f>"04046544"</f>
        <v>04046544</v>
      </c>
      <c r="B1514" t="s">
        <v>1635</v>
      </c>
      <c r="C1514" t="s">
        <v>7</v>
      </c>
      <c r="D1514" t="str">
        <f t="shared" si="56"/>
        <v>563510</v>
      </c>
      <c r="E1514" t="s">
        <v>1091</v>
      </c>
      <c r="F1514" t="s">
        <v>62</v>
      </c>
    </row>
    <row r="1515" spans="1:6" x14ac:dyDescent="0.25">
      <c r="A1515" t="str">
        <f>"64668665"</f>
        <v>64668665</v>
      </c>
      <c r="B1515" t="s">
        <v>1636</v>
      </c>
      <c r="C1515" t="s">
        <v>7</v>
      </c>
      <c r="D1515" t="str">
        <f t="shared" si="56"/>
        <v>563510</v>
      </c>
      <c r="E1515" t="s">
        <v>1091</v>
      </c>
      <c r="F1515" t="s">
        <v>11</v>
      </c>
    </row>
    <row r="1516" spans="1:6" x14ac:dyDescent="0.25">
      <c r="A1516" t="str">
        <f>"68298854"</f>
        <v>68298854</v>
      </c>
      <c r="B1516" t="s">
        <v>1637</v>
      </c>
      <c r="C1516" t="s">
        <v>7</v>
      </c>
      <c r="D1516" t="str">
        <f t="shared" si="56"/>
        <v>563510</v>
      </c>
      <c r="E1516" t="s">
        <v>1091</v>
      </c>
      <c r="F1516" t="s">
        <v>11</v>
      </c>
    </row>
    <row r="1517" spans="1:6" x14ac:dyDescent="0.25">
      <c r="A1517" t="str">
        <f>"22821635"</f>
        <v>22821635</v>
      </c>
      <c r="B1517" t="s">
        <v>1638</v>
      </c>
      <c r="C1517" t="s">
        <v>7</v>
      </c>
      <c r="D1517" t="str">
        <f t="shared" si="56"/>
        <v>563510</v>
      </c>
      <c r="E1517" t="s">
        <v>1091</v>
      </c>
      <c r="F1517" t="s">
        <v>11</v>
      </c>
    </row>
    <row r="1518" spans="1:6" x14ac:dyDescent="0.25">
      <c r="A1518" t="str">
        <f>"22820019"</f>
        <v>22820019</v>
      </c>
      <c r="B1518" t="s">
        <v>1639</v>
      </c>
      <c r="C1518" t="s">
        <v>7</v>
      </c>
      <c r="D1518" t="str">
        <f t="shared" si="56"/>
        <v>563510</v>
      </c>
      <c r="E1518" t="s">
        <v>1091</v>
      </c>
      <c r="F1518" t="s">
        <v>11</v>
      </c>
    </row>
    <row r="1519" spans="1:6" x14ac:dyDescent="0.25">
      <c r="A1519" t="str">
        <f>"60253339"</f>
        <v>60253339</v>
      </c>
      <c r="B1519" t="s">
        <v>1640</v>
      </c>
      <c r="C1519" t="s">
        <v>15</v>
      </c>
      <c r="D1519" t="str">
        <f t="shared" si="56"/>
        <v>563510</v>
      </c>
      <c r="E1519" t="s">
        <v>1091</v>
      </c>
      <c r="F1519" t="s">
        <v>11</v>
      </c>
    </row>
    <row r="1520" spans="1:6" x14ac:dyDescent="0.25">
      <c r="A1520" t="str">
        <f>"64668517"</f>
        <v>64668517</v>
      </c>
      <c r="B1520" t="s">
        <v>1641</v>
      </c>
      <c r="C1520" t="s">
        <v>15</v>
      </c>
      <c r="D1520" t="str">
        <f t="shared" si="56"/>
        <v>563510</v>
      </c>
      <c r="E1520" t="s">
        <v>1091</v>
      </c>
      <c r="F1520" t="s">
        <v>11</v>
      </c>
    </row>
    <row r="1521" spans="1:6" x14ac:dyDescent="0.25">
      <c r="A1521" t="str">
        <f>"09190317"</f>
        <v>09190317</v>
      </c>
      <c r="B1521" t="s">
        <v>1642</v>
      </c>
      <c r="C1521" t="s">
        <v>7</v>
      </c>
      <c r="D1521" t="str">
        <f t="shared" si="56"/>
        <v>563510</v>
      </c>
      <c r="E1521" t="s">
        <v>1091</v>
      </c>
      <c r="F1521" t="s">
        <v>11</v>
      </c>
    </row>
    <row r="1522" spans="1:6" x14ac:dyDescent="0.25">
      <c r="A1522" t="str">
        <f>"07129432"</f>
        <v>07129432</v>
      </c>
      <c r="B1522" t="s">
        <v>1643</v>
      </c>
      <c r="C1522" t="s">
        <v>7</v>
      </c>
      <c r="D1522" t="str">
        <f t="shared" si="56"/>
        <v>563510</v>
      </c>
      <c r="E1522" t="s">
        <v>1091</v>
      </c>
      <c r="F1522" t="s">
        <v>35</v>
      </c>
    </row>
    <row r="1523" spans="1:6" x14ac:dyDescent="0.25">
      <c r="A1523" t="str">
        <f>"22736123"</f>
        <v>22736123</v>
      </c>
      <c r="B1523" t="s">
        <v>1644</v>
      </c>
      <c r="C1523" t="s">
        <v>7</v>
      </c>
      <c r="D1523" t="str">
        <f t="shared" si="56"/>
        <v>563510</v>
      </c>
      <c r="E1523" t="s">
        <v>1091</v>
      </c>
      <c r="F1523" t="s">
        <v>62</v>
      </c>
    </row>
    <row r="1524" spans="1:6" x14ac:dyDescent="0.25">
      <c r="A1524" t="str">
        <f>"03657914"</f>
        <v>03657914</v>
      </c>
      <c r="B1524" t="s">
        <v>1645</v>
      </c>
      <c r="C1524" t="s">
        <v>27</v>
      </c>
      <c r="D1524" t="str">
        <f t="shared" si="56"/>
        <v>563510</v>
      </c>
      <c r="E1524" t="s">
        <v>1091</v>
      </c>
      <c r="F1524" t="s">
        <v>1646</v>
      </c>
    </row>
    <row r="1525" spans="1:6" x14ac:dyDescent="0.25">
      <c r="A1525" t="str">
        <f>"22690701"</f>
        <v>22690701</v>
      </c>
      <c r="B1525" t="s">
        <v>1647</v>
      </c>
      <c r="C1525" t="s">
        <v>7</v>
      </c>
      <c r="D1525" t="str">
        <f t="shared" si="56"/>
        <v>563510</v>
      </c>
      <c r="E1525" t="s">
        <v>1091</v>
      </c>
      <c r="F1525" t="s">
        <v>1096</v>
      </c>
    </row>
    <row r="1526" spans="1:6" x14ac:dyDescent="0.25">
      <c r="A1526" t="str">
        <f>"01282221"</f>
        <v>01282221</v>
      </c>
      <c r="B1526" t="s">
        <v>1648</v>
      </c>
      <c r="C1526" t="s">
        <v>7</v>
      </c>
      <c r="D1526" t="str">
        <f t="shared" si="56"/>
        <v>563510</v>
      </c>
      <c r="E1526" t="s">
        <v>1091</v>
      </c>
      <c r="F1526" t="s">
        <v>11</v>
      </c>
    </row>
    <row r="1527" spans="1:6" x14ac:dyDescent="0.25">
      <c r="A1527" t="str">
        <f>"00465984"</f>
        <v>00465984</v>
      </c>
      <c r="B1527" t="s">
        <v>1649</v>
      </c>
      <c r="C1527" t="s">
        <v>15</v>
      </c>
      <c r="D1527" t="str">
        <f t="shared" si="56"/>
        <v>563510</v>
      </c>
      <c r="E1527" t="s">
        <v>1091</v>
      </c>
      <c r="F1527" t="s">
        <v>11</v>
      </c>
    </row>
    <row r="1528" spans="1:6" x14ac:dyDescent="0.25">
      <c r="A1528" t="str">
        <f>"08174652"</f>
        <v>08174652</v>
      </c>
      <c r="B1528" t="s">
        <v>1650</v>
      </c>
      <c r="C1528" t="s">
        <v>7</v>
      </c>
      <c r="D1528" t="str">
        <f t="shared" si="56"/>
        <v>563510</v>
      </c>
      <c r="E1528" t="s">
        <v>1091</v>
      </c>
      <c r="F1528" t="s">
        <v>18</v>
      </c>
    </row>
    <row r="1529" spans="1:6" x14ac:dyDescent="0.25">
      <c r="A1529" t="str">
        <f>"18040616"</f>
        <v>18040616</v>
      </c>
      <c r="B1529" t="s">
        <v>1651</v>
      </c>
      <c r="C1529" t="s">
        <v>7</v>
      </c>
      <c r="D1529" t="str">
        <f t="shared" si="56"/>
        <v>563510</v>
      </c>
      <c r="E1529" t="s">
        <v>1091</v>
      </c>
      <c r="F1529" t="s">
        <v>62</v>
      </c>
    </row>
    <row r="1530" spans="1:6" x14ac:dyDescent="0.25">
      <c r="A1530" t="str">
        <f>"22891277"</f>
        <v>22891277</v>
      </c>
      <c r="B1530" t="s">
        <v>1652</v>
      </c>
      <c r="C1530" t="s">
        <v>7</v>
      </c>
      <c r="D1530" t="str">
        <f t="shared" si="56"/>
        <v>563510</v>
      </c>
      <c r="E1530" t="s">
        <v>1091</v>
      </c>
      <c r="F1530" t="s">
        <v>62</v>
      </c>
    </row>
    <row r="1531" spans="1:6" x14ac:dyDescent="0.25">
      <c r="A1531" t="str">
        <f>"64668584"</f>
        <v>64668584</v>
      </c>
      <c r="B1531" t="s">
        <v>1653</v>
      </c>
      <c r="C1531" t="s">
        <v>15</v>
      </c>
      <c r="D1531" t="str">
        <f t="shared" si="56"/>
        <v>563510</v>
      </c>
      <c r="E1531" t="s">
        <v>1091</v>
      </c>
      <c r="F1531" t="s">
        <v>11</v>
      </c>
    </row>
    <row r="1532" spans="1:6" x14ac:dyDescent="0.25">
      <c r="A1532" t="str">
        <f>"26564408"</f>
        <v>26564408</v>
      </c>
      <c r="B1532" t="s">
        <v>1654</v>
      </c>
      <c r="C1532" t="s">
        <v>7</v>
      </c>
      <c r="D1532" t="str">
        <f t="shared" si="56"/>
        <v>563510</v>
      </c>
      <c r="E1532" t="s">
        <v>1091</v>
      </c>
      <c r="F1532" t="s">
        <v>35</v>
      </c>
    </row>
    <row r="1533" spans="1:6" x14ac:dyDescent="0.25">
      <c r="A1533" t="str">
        <f>"09634347"</f>
        <v>09634347</v>
      </c>
      <c r="B1533" t="s">
        <v>1655</v>
      </c>
      <c r="C1533" t="s">
        <v>7</v>
      </c>
      <c r="D1533" t="str">
        <f t="shared" si="56"/>
        <v>563510</v>
      </c>
      <c r="E1533" t="s">
        <v>1091</v>
      </c>
      <c r="F1533" t="s">
        <v>11</v>
      </c>
    </row>
    <row r="1534" spans="1:6" x14ac:dyDescent="0.25">
      <c r="A1534" t="str">
        <f>"69411212"</f>
        <v>69411212</v>
      </c>
      <c r="B1534" t="s">
        <v>1656</v>
      </c>
      <c r="C1534" t="s">
        <v>7</v>
      </c>
      <c r="D1534" t="str">
        <f t="shared" si="56"/>
        <v>563510</v>
      </c>
      <c r="E1534" t="s">
        <v>1091</v>
      </c>
      <c r="F1534" t="s">
        <v>35</v>
      </c>
    </row>
    <row r="1535" spans="1:6" x14ac:dyDescent="0.25">
      <c r="A1535" t="str">
        <f>"22862226"</f>
        <v>22862226</v>
      </c>
      <c r="B1535" t="s">
        <v>1657</v>
      </c>
      <c r="C1535" t="s">
        <v>7</v>
      </c>
      <c r="D1535" t="str">
        <f t="shared" si="56"/>
        <v>563510</v>
      </c>
      <c r="E1535" t="s">
        <v>1091</v>
      </c>
      <c r="F1535" t="s">
        <v>11</v>
      </c>
    </row>
    <row r="1536" spans="1:6" x14ac:dyDescent="0.25">
      <c r="A1536" t="str">
        <f>"22896481"</f>
        <v>22896481</v>
      </c>
      <c r="B1536" t="s">
        <v>1658</v>
      </c>
      <c r="C1536" t="s">
        <v>7</v>
      </c>
      <c r="D1536" t="str">
        <f t="shared" si="56"/>
        <v>563510</v>
      </c>
      <c r="E1536" t="s">
        <v>1091</v>
      </c>
      <c r="F1536" t="s">
        <v>29</v>
      </c>
    </row>
    <row r="1537" spans="1:6" x14ac:dyDescent="0.25">
      <c r="A1537" t="str">
        <f>"60252251"</f>
        <v>60252251</v>
      </c>
      <c r="B1537" t="s">
        <v>1659</v>
      </c>
      <c r="C1537" t="s">
        <v>15</v>
      </c>
      <c r="D1537" t="str">
        <f t="shared" si="56"/>
        <v>563510</v>
      </c>
      <c r="E1537" t="s">
        <v>1091</v>
      </c>
      <c r="F1537" t="s">
        <v>18</v>
      </c>
    </row>
    <row r="1538" spans="1:6" x14ac:dyDescent="0.25">
      <c r="A1538" t="str">
        <f>"60253151"</f>
        <v>60253151</v>
      </c>
      <c r="B1538" t="s">
        <v>1660</v>
      </c>
      <c r="C1538" t="s">
        <v>20</v>
      </c>
      <c r="D1538" t="str">
        <f t="shared" si="56"/>
        <v>563510</v>
      </c>
      <c r="E1538" t="s">
        <v>1091</v>
      </c>
      <c r="F1538" t="s">
        <v>21</v>
      </c>
    </row>
    <row r="1539" spans="1:6" x14ac:dyDescent="0.25">
      <c r="A1539" t="str">
        <f>"04336640"</f>
        <v>04336640</v>
      </c>
      <c r="B1539" t="s">
        <v>1661</v>
      </c>
      <c r="C1539" t="s">
        <v>20</v>
      </c>
      <c r="D1539" t="str">
        <f t="shared" si="56"/>
        <v>563510</v>
      </c>
      <c r="E1539" t="s">
        <v>1091</v>
      </c>
      <c r="F1539" t="s">
        <v>21</v>
      </c>
    </row>
    <row r="1540" spans="1:6" x14ac:dyDescent="0.25">
      <c r="A1540" t="str">
        <f>"64669734"</f>
        <v>64669734</v>
      </c>
      <c r="B1540" t="s">
        <v>1662</v>
      </c>
      <c r="C1540" t="s">
        <v>15</v>
      </c>
      <c r="D1540" t="str">
        <f t="shared" si="56"/>
        <v>563510</v>
      </c>
      <c r="E1540" t="s">
        <v>1091</v>
      </c>
      <c r="F1540" t="s">
        <v>11</v>
      </c>
    </row>
    <row r="1541" spans="1:6" x14ac:dyDescent="0.25">
      <c r="A1541" t="str">
        <f>"02475961"</f>
        <v>02475961</v>
      </c>
      <c r="B1541" t="s">
        <v>1663</v>
      </c>
      <c r="C1541" t="s">
        <v>15</v>
      </c>
      <c r="D1541" t="str">
        <f t="shared" si="56"/>
        <v>563510</v>
      </c>
      <c r="E1541" t="s">
        <v>1091</v>
      </c>
      <c r="F1541" t="s">
        <v>29</v>
      </c>
    </row>
    <row r="1542" spans="1:6" x14ac:dyDescent="0.25">
      <c r="A1542" t="str">
        <f>"72553855"</f>
        <v>72553855</v>
      </c>
      <c r="B1542" t="s">
        <v>1664</v>
      </c>
      <c r="C1542" t="s">
        <v>15</v>
      </c>
      <c r="D1542" t="str">
        <f t="shared" si="56"/>
        <v>563510</v>
      </c>
      <c r="E1542" t="s">
        <v>1091</v>
      </c>
      <c r="F1542" t="s">
        <v>29</v>
      </c>
    </row>
    <row r="1543" spans="1:6" x14ac:dyDescent="0.25">
      <c r="A1543" t="str">
        <f>"60253312"</f>
        <v>60253312</v>
      </c>
      <c r="B1543" t="s">
        <v>1665</v>
      </c>
      <c r="C1543" t="s">
        <v>15</v>
      </c>
      <c r="D1543" t="str">
        <f t="shared" si="56"/>
        <v>563510</v>
      </c>
      <c r="E1543" t="s">
        <v>1091</v>
      </c>
      <c r="F1543" t="s">
        <v>29</v>
      </c>
    </row>
    <row r="1544" spans="1:6" x14ac:dyDescent="0.25">
      <c r="A1544" t="str">
        <f>"71182128"</f>
        <v>71182128</v>
      </c>
      <c r="B1544" t="s">
        <v>1666</v>
      </c>
      <c r="C1544" t="s">
        <v>15</v>
      </c>
      <c r="D1544" t="str">
        <f t="shared" si="56"/>
        <v>563510</v>
      </c>
      <c r="E1544" t="s">
        <v>1091</v>
      </c>
      <c r="F1544" t="s">
        <v>29</v>
      </c>
    </row>
    <row r="1545" spans="1:6" x14ac:dyDescent="0.25">
      <c r="A1545" t="str">
        <f>"17107601"</f>
        <v>17107601</v>
      </c>
      <c r="B1545" t="s">
        <v>1667</v>
      </c>
      <c r="C1545" t="s">
        <v>20</v>
      </c>
      <c r="D1545" t="str">
        <f t="shared" si="56"/>
        <v>563510</v>
      </c>
      <c r="E1545" t="s">
        <v>1091</v>
      </c>
      <c r="F1545" t="s">
        <v>21</v>
      </c>
    </row>
    <row r="1546" spans="1:6" x14ac:dyDescent="0.25">
      <c r="A1546" t="str">
        <f>"60253665"</f>
        <v>60253665</v>
      </c>
      <c r="B1546" t="s">
        <v>1668</v>
      </c>
      <c r="C1546" t="s">
        <v>15</v>
      </c>
      <c r="D1546" t="str">
        <f t="shared" si="56"/>
        <v>563510</v>
      </c>
      <c r="E1546" t="s">
        <v>1091</v>
      </c>
      <c r="F1546" t="s">
        <v>11</v>
      </c>
    </row>
    <row r="1547" spans="1:6" x14ac:dyDescent="0.25">
      <c r="A1547" t="str">
        <f>"60253576"</f>
        <v>60253576</v>
      </c>
      <c r="B1547" t="s">
        <v>1669</v>
      </c>
      <c r="C1547" t="s">
        <v>15</v>
      </c>
      <c r="D1547" t="str">
        <f t="shared" si="56"/>
        <v>563510</v>
      </c>
      <c r="E1547" t="s">
        <v>1091</v>
      </c>
      <c r="F1547" t="s">
        <v>11</v>
      </c>
    </row>
    <row r="1548" spans="1:6" x14ac:dyDescent="0.25">
      <c r="A1548" t="str">
        <f>"70907927"</f>
        <v>70907927</v>
      </c>
      <c r="B1548" t="s">
        <v>1670</v>
      </c>
      <c r="C1548" t="s">
        <v>20</v>
      </c>
      <c r="D1548" t="str">
        <f t="shared" si="56"/>
        <v>563510</v>
      </c>
      <c r="E1548" t="s">
        <v>1091</v>
      </c>
      <c r="F1548" t="s">
        <v>21</v>
      </c>
    </row>
    <row r="1549" spans="1:6" x14ac:dyDescent="0.25">
      <c r="A1549" t="str">
        <f>"70949646"</f>
        <v>70949646</v>
      </c>
      <c r="B1549" t="s">
        <v>1671</v>
      </c>
      <c r="C1549" t="s">
        <v>20</v>
      </c>
      <c r="D1549" t="str">
        <f t="shared" si="56"/>
        <v>563510</v>
      </c>
      <c r="E1549" t="s">
        <v>1091</v>
      </c>
      <c r="F1549" t="s">
        <v>21</v>
      </c>
    </row>
    <row r="1550" spans="1:6" x14ac:dyDescent="0.25">
      <c r="A1550" t="str">
        <f>"70905142"</f>
        <v>70905142</v>
      </c>
      <c r="B1550" t="s">
        <v>1672</v>
      </c>
      <c r="C1550" t="s">
        <v>20</v>
      </c>
      <c r="D1550" t="str">
        <f t="shared" si="56"/>
        <v>563510</v>
      </c>
      <c r="E1550" t="s">
        <v>1091</v>
      </c>
      <c r="F1550" t="s">
        <v>21</v>
      </c>
    </row>
    <row r="1551" spans="1:6" x14ac:dyDescent="0.25">
      <c r="A1551" t="str">
        <f>"64669882"</f>
        <v>64669882</v>
      </c>
      <c r="B1551" t="s">
        <v>1673</v>
      </c>
      <c r="C1551" t="s">
        <v>20</v>
      </c>
      <c r="D1551" t="str">
        <f t="shared" si="56"/>
        <v>563510</v>
      </c>
      <c r="E1551" t="s">
        <v>1091</v>
      </c>
      <c r="F1551" t="s">
        <v>21</v>
      </c>
    </row>
    <row r="1552" spans="1:6" x14ac:dyDescent="0.25">
      <c r="A1552" t="str">
        <f>"68298838"</f>
        <v>68298838</v>
      </c>
      <c r="B1552" t="s">
        <v>1674</v>
      </c>
      <c r="C1552" t="s">
        <v>20</v>
      </c>
      <c r="D1552" t="str">
        <f t="shared" si="56"/>
        <v>563510</v>
      </c>
      <c r="E1552" t="s">
        <v>1091</v>
      </c>
      <c r="F1552" t="s">
        <v>21</v>
      </c>
    </row>
    <row r="1553" spans="1:6" x14ac:dyDescent="0.25">
      <c r="A1553" t="str">
        <f>"71238361"</f>
        <v>71238361</v>
      </c>
      <c r="B1553" t="s">
        <v>1675</v>
      </c>
      <c r="C1553" t="s">
        <v>20</v>
      </c>
      <c r="D1553" t="str">
        <f t="shared" si="56"/>
        <v>563510</v>
      </c>
      <c r="E1553" t="s">
        <v>1091</v>
      </c>
      <c r="F1553" t="s">
        <v>21</v>
      </c>
    </row>
    <row r="1554" spans="1:6" x14ac:dyDescent="0.25">
      <c r="A1554" t="str">
        <f>"18380964"</f>
        <v>18380964</v>
      </c>
      <c r="B1554" t="s">
        <v>1676</v>
      </c>
      <c r="C1554" t="s">
        <v>20</v>
      </c>
      <c r="D1554" t="str">
        <f t="shared" ref="D1554:D1579" si="57">"563510"</f>
        <v>563510</v>
      </c>
      <c r="E1554" t="s">
        <v>1091</v>
      </c>
      <c r="F1554" t="s">
        <v>21</v>
      </c>
    </row>
    <row r="1555" spans="1:6" x14ac:dyDescent="0.25">
      <c r="A1555" t="str">
        <f>"02227631"</f>
        <v>02227631</v>
      </c>
      <c r="B1555" t="s">
        <v>1677</v>
      </c>
      <c r="C1555" t="s">
        <v>20</v>
      </c>
      <c r="D1555" t="str">
        <f t="shared" si="57"/>
        <v>563510</v>
      </c>
      <c r="E1555" t="s">
        <v>1091</v>
      </c>
      <c r="F1555" t="s">
        <v>21</v>
      </c>
    </row>
    <row r="1556" spans="1:6" x14ac:dyDescent="0.25">
      <c r="A1556" t="str">
        <f>"70898758"</f>
        <v>70898758</v>
      </c>
      <c r="B1556" t="s">
        <v>1678</v>
      </c>
      <c r="C1556" t="s">
        <v>20</v>
      </c>
      <c r="D1556" t="str">
        <f t="shared" si="57"/>
        <v>563510</v>
      </c>
      <c r="E1556" t="s">
        <v>1091</v>
      </c>
      <c r="F1556" t="s">
        <v>21</v>
      </c>
    </row>
    <row r="1557" spans="1:6" x14ac:dyDescent="0.25">
      <c r="A1557" t="str">
        <f>"64668924"</f>
        <v>64668924</v>
      </c>
      <c r="B1557" t="s">
        <v>1679</v>
      </c>
      <c r="C1557" t="s">
        <v>20</v>
      </c>
      <c r="D1557" t="str">
        <f t="shared" si="57"/>
        <v>563510</v>
      </c>
      <c r="E1557" t="s">
        <v>1091</v>
      </c>
      <c r="F1557" t="s">
        <v>21</v>
      </c>
    </row>
    <row r="1558" spans="1:6" x14ac:dyDescent="0.25">
      <c r="A1558" t="str">
        <f>"70582602"</f>
        <v>70582602</v>
      </c>
      <c r="B1558" t="s">
        <v>1680</v>
      </c>
      <c r="C1558" t="s">
        <v>20</v>
      </c>
      <c r="D1558" t="str">
        <f t="shared" si="57"/>
        <v>563510</v>
      </c>
      <c r="E1558" t="s">
        <v>1091</v>
      </c>
      <c r="F1558" t="s">
        <v>21</v>
      </c>
    </row>
    <row r="1559" spans="1:6" x14ac:dyDescent="0.25">
      <c r="A1559" t="str">
        <f>"70935157"</f>
        <v>70935157</v>
      </c>
      <c r="B1559" t="s">
        <v>1681</v>
      </c>
      <c r="C1559" t="s">
        <v>20</v>
      </c>
      <c r="D1559" t="str">
        <f t="shared" si="57"/>
        <v>563510</v>
      </c>
      <c r="E1559" t="s">
        <v>1091</v>
      </c>
      <c r="F1559" t="s">
        <v>21</v>
      </c>
    </row>
    <row r="1560" spans="1:6" x14ac:dyDescent="0.25">
      <c r="A1560" t="str">
        <f>"64669254"</f>
        <v>64669254</v>
      </c>
      <c r="B1560" t="s">
        <v>1682</v>
      </c>
      <c r="C1560" t="s">
        <v>20</v>
      </c>
      <c r="D1560" t="str">
        <f t="shared" si="57"/>
        <v>563510</v>
      </c>
      <c r="E1560" t="s">
        <v>1091</v>
      </c>
      <c r="F1560" t="s">
        <v>21</v>
      </c>
    </row>
    <row r="1561" spans="1:6" x14ac:dyDescent="0.25">
      <c r="A1561" t="str">
        <f>"04337565"</f>
        <v>04337565</v>
      </c>
      <c r="B1561" t="s">
        <v>1683</v>
      </c>
      <c r="C1561" t="s">
        <v>20</v>
      </c>
      <c r="D1561" t="str">
        <f t="shared" si="57"/>
        <v>563510</v>
      </c>
      <c r="E1561" t="s">
        <v>1091</v>
      </c>
      <c r="F1561" t="s">
        <v>21</v>
      </c>
    </row>
    <row r="1562" spans="1:6" x14ac:dyDescent="0.25">
      <c r="A1562" t="str">
        <f>"16389999"</f>
        <v>16389999</v>
      </c>
      <c r="B1562" t="s">
        <v>1684</v>
      </c>
      <c r="C1562" t="s">
        <v>779</v>
      </c>
      <c r="D1562" t="str">
        <f t="shared" si="57"/>
        <v>563510</v>
      </c>
      <c r="E1562" t="s">
        <v>1091</v>
      </c>
      <c r="F1562" t="s">
        <v>1685</v>
      </c>
    </row>
    <row r="1563" spans="1:6" x14ac:dyDescent="0.25">
      <c r="A1563" t="str">
        <f>"19507381"</f>
        <v>19507381</v>
      </c>
      <c r="B1563" t="s">
        <v>1686</v>
      </c>
      <c r="C1563" t="s">
        <v>7</v>
      </c>
      <c r="D1563" t="str">
        <f t="shared" si="57"/>
        <v>563510</v>
      </c>
      <c r="E1563" t="s">
        <v>1091</v>
      </c>
      <c r="F1563" t="s">
        <v>11</v>
      </c>
    </row>
    <row r="1564" spans="1:6" x14ac:dyDescent="0.25">
      <c r="A1564" t="str">
        <f>"08946531"</f>
        <v>08946531</v>
      </c>
      <c r="B1564" t="s">
        <v>1687</v>
      </c>
      <c r="C1564" t="s">
        <v>7</v>
      </c>
      <c r="D1564" t="str">
        <f t="shared" si="57"/>
        <v>563510</v>
      </c>
      <c r="E1564" t="s">
        <v>1091</v>
      </c>
      <c r="F1564" t="s">
        <v>11</v>
      </c>
    </row>
    <row r="1565" spans="1:6" x14ac:dyDescent="0.25">
      <c r="A1565" t="str">
        <f>"64669751"</f>
        <v>64669751</v>
      </c>
      <c r="B1565" t="s">
        <v>1688</v>
      </c>
      <c r="C1565" t="s">
        <v>15</v>
      </c>
      <c r="D1565" t="str">
        <f t="shared" si="57"/>
        <v>563510</v>
      </c>
      <c r="E1565" t="s">
        <v>1091</v>
      </c>
      <c r="F1565" t="s">
        <v>18</v>
      </c>
    </row>
    <row r="1566" spans="1:6" x14ac:dyDescent="0.25">
      <c r="A1566" t="str">
        <f>"72744804"</f>
        <v>72744804</v>
      </c>
      <c r="B1566" t="s">
        <v>1689</v>
      </c>
      <c r="C1566" t="s">
        <v>15</v>
      </c>
      <c r="D1566" t="str">
        <f t="shared" si="57"/>
        <v>563510</v>
      </c>
      <c r="E1566" t="s">
        <v>1091</v>
      </c>
      <c r="F1566" t="s">
        <v>18</v>
      </c>
    </row>
    <row r="1567" spans="1:6" x14ac:dyDescent="0.25">
      <c r="A1567" t="str">
        <f>"05610842"</f>
        <v>05610842</v>
      </c>
      <c r="B1567" t="s">
        <v>1690</v>
      </c>
      <c r="C1567" t="s">
        <v>20</v>
      </c>
      <c r="D1567" t="str">
        <f t="shared" si="57"/>
        <v>563510</v>
      </c>
      <c r="E1567" t="s">
        <v>1091</v>
      </c>
      <c r="F1567" t="s">
        <v>21</v>
      </c>
    </row>
    <row r="1568" spans="1:6" x14ac:dyDescent="0.25">
      <c r="A1568" t="str">
        <f>"65733045"</f>
        <v>65733045</v>
      </c>
      <c r="B1568" t="s">
        <v>1691</v>
      </c>
      <c r="C1568" t="s">
        <v>20</v>
      </c>
      <c r="D1568" t="str">
        <f t="shared" si="57"/>
        <v>563510</v>
      </c>
      <c r="E1568" t="s">
        <v>1091</v>
      </c>
      <c r="F1568" t="s">
        <v>21</v>
      </c>
    </row>
    <row r="1569" spans="1:6" x14ac:dyDescent="0.25">
      <c r="A1569" t="str">
        <f>"65734491"</f>
        <v>65734491</v>
      </c>
      <c r="B1569" t="s">
        <v>1692</v>
      </c>
      <c r="C1569" t="s">
        <v>20</v>
      </c>
      <c r="D1569" t="str">
        <f t="shared" si="57"/>
        <v>563510</v>
      </c>
      <c r="E1569" t="s">
        <v>1091</v>
      </c>
      <c r="F1569" t="s">
        <v>21</v>
      </c>
    </row>
    <row r="1570" spans="1:6" x14ac:dyDescent="0.25">
      <c r="A1570" t="str">
        <f>"71166688"</f>
        <v>71166688</v>
      </c>
      <c r="B1570" t="s">
        <v>1693</v>
      </c>
      <c r="C1570" t="s">
        <v>20</v>
      </c>
      <c r="D1570" t="str">
        <f t="shared" si="57"/>
        <v>563510</v>
      </c>
      <c r="E1570" t="s">
        <v>1091</v>
      </c>
      <c r="F1570" t="s">
        <v>21</v>
      </c>
    </row>
    <row r="1571" spans="1:6" x14ac:dyDescent="0.25">
      <c r="A1571" t="str">
        <f>"71244140"</f>
        <v>71244140</v>
      </c>
      <c r="B1571" t="s">
        <v>1694</v>
      </c>
      <c r="C1571" t="s">
        <v>20</v>
      </c>
      <c r="D1571" t="str">
        <f t="shared" si="57"/>
        <v>563510</v>
      </c>
      <c r="E1571" t="s">
        <v>1091</v>
      </c>
      <c r="F1571" t="s">
        <v>21</v>
      </c>
    </row>
    <row r="1572" spans="1:6" x14ac:dyDescent="0.25">
      <c r="A1572" t="str">
        <f>"09357246"</f>
        <v>09357246</v>
      </c>
      <c r="B1572" t="s">
        <v>1695</v>
      </c>
      <c r="C1572" t="s">
        <v>20</v>
      </c>
      <c r="D1572" t="str">
        <f t="shared" si="57"/>
        <v>563510</v>
      </c>
      <c r="E1572" t="s">
        <v>1091</v>
      </c>
      <c r="F1572" t="s">
        <v>21</v>
      </c>
    </row>
    <row r="1573" spans="1:6" x14ac:dyDescent="0.25">
      <c r="A1573" t="str">
        <f>"23042834"</f>
        <v>23042834</v>
      </c>
      <c r="B1573" t="s">
        <v>1696</v>
      </c>
      <c r="C1573" t="s">
        <v>20</v>
      </c>
      <c r="D1573" t="str">
        <f t="shared" si="57"/>
        <v>563510</v>
      </c>
      <c r="E1573" t="s">
        <v>1091</v>
      </c>
      <c r="F1573" t="s">
        <v>21</v>
      </c>
    </row>
    <row r="1574" spans="1:6" x14ac:dyDescent="0.25">
      <c r="A1574" t="str">
        <f>"22854207"</f>
        <v>22854207</v>
      </c>
      <c r="B1574" t="s">
        <v>1697</v>
      </c>
      <c r="C1574" t="s">
        <v>7</v>
      </c>
      <c r="D1574" t="str">
        <f t="shared" si="57"/>
        <v>563510</v>
      </c>
      <c r="E1574" t="s">
        <v>1091</v>
      </c>
      <c r="F1574" t="s">
        <v>18</v>
      </c>
    </row>
    <row r="1575" spans="1:6" x14ac:dyDescent="0.25">
      <c r="A1575" t="str">
        <f>"60253690"</f>
        <v>60253690</v>
      </c>
      <c r="B1575" t="s">
        <v>1698</v>
      </c>
      <c r="C1575" t="s">
        <v>7</v>
      </c>
      <c r="D1575" t="str">
        <f t="shared" si="57"/>
        <v>563510</v>
      </c>
      <c r="E1575" t="s">
        <v>1091</v>
      </c>
      <c r="F1575" t="s">
        <v>11</v>
      </c>
    </row>
    <row r="1576" spans="1:6" x14ac:dyDescent="0.25">
      <c r="A1576" t="str">
        <f>"22891056"</f>
        <v>22891056</v>
      </c>
      <c r="B1576" t="s">
        <v>1699</v>
      </c>
      <c r="C1576" t="s">
        <v>7</v>
      </c>
      <c r="D1576" t="str">
        <f t="shared" si="57"/>
        <v>563510</v>
      </c>
      <c r="E1576" t="s">
        <v>1091</v>
      </c>
      <c r="F1576" t="s">
        <v>18</v>
      </c>
    </row>
    <row r="1577" spans="1:6" x14ac:dyDescent="0.25">
      <c r="A1577" t="str">
        <f>"07913605"</f>
        <v>07913605</v>
      </c>
      <c r="B1577" t="s">
        <v>1700</v>
      </c>
      <c r="C1577" t="s">
        <v>7</v>
      </c>
      <c r="D1577" t="str">
        <f t="shared" si="57"/>
        <v>563510</v>
      </c>
      <c r="E1577" t="s">
        <v>1091</v>
      </c>
      <c r="F1577" t="s">
        <v>29</v>
      </c>
    </row>
    <row r="1578" spans="1:6" x14ac:dyDescent="0.25">
      <c r="A1578" t="str">
        <f>"17521751"</f>
        <v>17521751</v>
      </c>
      <c r="B1578" t="s">
        <v>1701</v>
      </c>
      <c r="C1578" t="s">
        <v>7</v>
      </c>
      <c r="D1578" t="str">
        <f t="shared" si="57"/>
        <v>563510</v>
      </c>
      <c r="E1578" t="s">
        <v>1091</v>
      </c>
      <c r="F1578" t="s">
        <v>29</v>
      </c>
    </row>
    <row r="1579" spans="1:6" x14ac:dyDescent="0.25">
      <c r="A1579" t="str">
        <f>"26655012"</f>
        <v>26655012</v>
      </c>
      <c r="B1579" t="s">
        <v>1702</v>
      </c>
      <c r="C1579" t="s">
        <v>7</v>
      </c>
      <c r="D1579" t="str">
        <f t="shared" si="57"/>
        <v>563510</v>
      </c>
      <c r="E1579" t="s">
        <v>1091</v>
      </c>
      <c r="F1579" t="s">
        <v>11</v>
      </c>
    </row>
    <row r="1580" spans="1:6" x14ac:dyDescent="0.25">
      <c r="A1580" t="str">
        <f>"00525219"</f>
        <v>00525219</v>
      </c>
      <c r="B1580" t="s">
        <v>1703</v>
      </c>
      <c r="C1580" t="s">
        <v>15</v>
      </c>
      <c r="D1580" t="str">
        <f t="shared" ref="D1580:D1611" si="58">"561631"</f>
        <v>561631</v>
      </c>
      <c r="E1580" t="s">
        <v>1704</v>
      </c>
      <c r="F1580" t="s">
        <v>11</v>
      </c>
    </row>
    <row r="1581" spans="1:6" x14ac:dyDescent="0.25">
      <c r="A1581" t="str">
        <f>"22772006"</f>
        <v>22772006</v>
      </c>
      <c r="B1581" t="s">
        <v>1705</v>
      </c>
      <c r="C1581" t="s">
        <v>7</v>
      </c>
      <c r="D1581" t="str">
        <f t="shared" si="58"/>
        <v>561631</v>
      </c>
      <c r="E1581" t="s">
        <v>1704</v>
      </c>
      <c r="F1581" t="s">
        <v>11</v>
      </c>
    </row>
    <row r="1582" spans="1:6" x14ac:dyDescent="0.25">
      <c r="A1582" t="str">
        <f>"22859594"</f>
        <v>22859594</v>
      </c>
      <c r="B1582" t="s">
        <v>1706</v>
      </c>
      <c r="C1582" t="s">
        <v>7</v>
      </c>
      <c r="D1582" t="str">
        <f t="shared" si="58"/>
        <v>561631</v>
      </c>
      <c r="E1582" t="s">
        <v>1704</v>
      </c>
      <c r="F1582" t="s">
        <v>18</v>
      </c>
    </row>
    <row r="1583" spans="1:6" x14ac:dyDescent="0.25">
      <c r="A1583" t="str">
        <f>"03736041"</f>
        <v>03736041</v>
      </c>
      <c r="B1583" t="s">
        <v>1707</v>
      </c>
      <c r="C1583" t="s">
        <v>7</v>
      </c>
      <c r="D1583" t="str">
        <f t="shared" si="58"/>
        <v>561631</v>
      </c>
      <c r="E1583" t="s">
        <v>1704</v>
      </c>
      <c r="F1583" t="s">
        <v>29</v>
      </c>
    </row>
    <row r="1584" spans="1:6" x14ac:dyDescent="0.25">
      <c r="A1584" t="str">
        <f>"71010084"</f>
        <v>71010084</v>
      </c>
      <c r="B1584" t="s">
        <v>1708</v>
      </c>
      <c r="C1584" t="s">
        <v>15</v>
      </c>
      <c r="D1584" t="str">
        <f t="shared" si="58"/>
        <v>561631</v>
      </c>
      <c r="E1584" t="s">
        <v>1704</v>
      </c>
      <c r="F1584" t="s">
        <v>11</v>
      </c>
    </row>
    <row r="1585" spans="1:6" x14ac:dyDescent="0.25">
      <c r="A1585" t="str">
        <f>"00482609"</f>
        <v>00482609</v>
      </c>
      <c r="B1585" t="s">
        <v>1709</v>
      </c>
      <c r="C1585" t="s">
        <v>15</v>
      </c>
      <c r="D1585" t="str">
        <f t="shared" si="58"/>
        <v>561631</v>
      </c>
      <c r="E1585" t="s">
        <v>1704</v>
      </c>
      <c r="F1585" t="s">
        <v>29</v>
      </c>
    </row>
    <row r="1586" spans="1:6" x14ac:dyDescent="0.25">
      <c r="A1586" t="str">
        <f>"71247050"</f>
        <v>71247050</v>
      </c>
      <c r="B1586" t="s">
        <v>1710</v>
      </c>
      <c r="C1586" t="s">
        <v>15</v>
      </c>
      <c r="D1586" t="str">
        <f t="shared" si="58"/>
        <v>561631</v>
      </c>
      <c r="E1586" t="s">
        <v>1704</v>
      </c>
      <c r="F1586" t="s">
        <v>62</v>
      </c>
    </row>
    <row r="1587" spans="1:6" x14ac:dyDescent="0.25">
      <c r="A1587" t="str">
        <f>"17479525"</f>
        <v>17479525</v>
      </c>
      <c r="B1587" t="s">
        <v>1711</v>
      </c>
      <c r="C1587" t="s">
        <v>7</v>
      </c>
      <c r="D1587" t="str">
        <f t="shared" si="58"/>
        <v>561631</v>
      </c>
      <c r="E1587" t="s">
        <v>1704</v>
      </c>
      <c r="F1587" t="s">
        <v>62</v>
      </c>
    </row>
    <row r="1588" spans="1:6" x14ac:dyDescent="0.25">
      <c r="A1588" t="str">
        <f>"22865519"</f>
        <v>22865519</v>
      </c>
      <c r="B1588" t="s">
        <v>1712</v>
      </c>
      <c r="C1588" t="s">
        <v>7</v>
      </c>
      <c r="D1588" t="str">
        <f t="shared" si="58"/>
        <v>561631</v>
      </c>
      <c r="E1588" t="s">
        <v>1704</v>
      </c>
      <c r="F1588" t="s">
        <v>9</v>
      </c>
    </row>
    <row r="1589" spans="1:6" x14ac:dyDescent="0.25">
      <c r="A1589" t="str">
        <f>"02336448"</f>
        <v>02336448</v>
      </c>
      <c r="B1589" t="s">
        <v>1713</v>
      </c>
      <c r="C1589" t="s">
        <v>7</v>
      </c>
      <c r="D1589" t="str">
        <f t="shared" si="58"/>
        <v>561631</v>
      </c>
      <c r="E1589" t="s">
        <v>1704</v>
      </c>
      <c r="F1589" t="s">
        <v>35</v>
      </c>
    </row>
    <row r="1590" spans="1:6" x14ac:dyDescent="0.25">
      <c r="A1590" t="str">
        <f>"02411474"</f>
        <v>02411474</v>
      </c>
      <c r="B1590" t="s">
        <v>1714</v>
      </c>
      <c r="C1590" t="s">
        <v>37</v>
      </c>
      <c r="D1590" t="str">
        <f t="shared" si="58"/>
        <v>561631</v>
      </c>
      <c r="E1590" t="s">
        <v>1704</v>
      </c>
      <c r="F1590" t="s">
        <v>38</v>
      </c>
    </row>
    <row r="1591" spans="1:6" x14ac:dyDescent="0.25">
      <c r="A1591" t="str">
        <f>"02411041"</f>
        <v>02411041</v>
      </c>
      <c r="B1591" t="s">
        <v>1715</v>
      </c>
      <c r="C1591" t="s">
        <v>37</v>
      </c>
      <c r="D1591" t="str">
        <f t="shared" si="58"/>
        <v>561631</v>
      </c>
      <c r="E1591" t="s">
        <v>1704</v>
      </c>
      <c r="F1591" t="s">
        <v>38</v>
      </c>
    </row>
    <row r="1592" spans="1:6" x14ac:dyDescent="0.25">
      <c r="A1592" t="str">
        <f>"71219200"</f>
        <v>71219200</v>
      </c>
      <c r="B1592" t="s">
        <v>1716</v>
      </c>
      <c r="C1592" t="s">
        <v>37</v>
      </c>
      <c r="D1592" t="str">
        <f t="shared" si="58"/>
        <v>561631</v>
      </c>
      <c r="E1592" t="s">
        <v>1704</v>
      </c>
      <c r="F1592" t="s">
        <v>38</v>
      </c>
    </row>
    <row r="1593" spans="1:6" x14ac:dyDescent="0.25">
      <c r="A1593" t="str">
        <f>"01491512"</f>
        <v>01491512</v>
      </c>
      <c r="B1593" t="s">
        <v>1717</v>
      </c>
      <c r="C1593" t="s">
        <v>7</v>
      </c>
      <c r="D1593" t="str">
        <f t="shared" si="58"/>
        <v>561631</v>
      </c>
      <c r="E1593" t="s">
        <v>1704</v>
      </c>
      <c r="F1593" t="s">
        <v>11</v>
      </c>
    </row>
    <row r="1594" spans="1:6" x14ac:dyDescent="0.25">
      <c r="A1594" t="str">
        <f>"18383807"</f>
        <v>18383807</v>
      </c>
      <c r="B1594" t="s">
        <v>1718</v>
      </c>
      <c r="C1594" t="s">
        <v>43</v>
      </c>
      <c r="D1594" t="str">
        <f t="shared" si="58"/>
        <v>561631</v>
      </c>
      <c r="E1594" t="s">
        <v>1704</v>
      </c>
      <c r="F1594" t="s">
        <v>44</v>
      </c>
    </row>
    <row r="1595" spans="1:6" x14ac:dyDescent="0.25">
      <c r="A1595" t="str">
        <f>"65650034"</f>
        <v>65650034</v>
      </c>
      <c r="B1595" t="s">
        <v>1719</v>
      </c>
      <c r="C1595" t="s">
        <v>15</v>
      </c>
      <c r="D1595" t="str">
        <f t="shared" si="58"/>
        <v>561631</v>
      </c>
      <c r="E1595" t="s">
        <v>1704</v>
      </c>
      <c r="F1595" t="s">
        <v>11</v>
      </c>
    </row>
    <row r="1596" spans="1:6" x14ac:dyDescent="0.25">
      <c r="A1596" t="str">
        <f>"26518970"</f>
        <v>26518970</v>
      </c>
      <c r="B1596" t="s">
        <v>1720</v>
      </c>
      <c r="C1596" t="s">
        <v>7</v>
      </c>
      <c r="D1596" t="str">
        <f t="shared" si="58"/>
        <v>561631</v>
      </c>
      <c r="E1596" t="s">
        <v>1704</v>
      </c>
      <c r="F1596" t="s">
        <v>35</v>
      </c>
    </row>
    <row r="1597" spans="1:6" x14ac:dyDescent="0.25">
      <c r="A1597" t="str">
        <f>"18382568"</f>
        <v>18382568</v>
      </c>
      <c r="B1597" t="s">
        <v>1721</v>
      </c>
      <c r="C1597" t="s">
        <v>7</v>
      </c>
      <c r="D1597" t="str">
        <f t="shared" si="58"/>
        <v>561631</v>
      </c>
      <c r="E1597" t="s">
        <v>1704</v>
      </c>
      <c r="F1597" t="s">
        <v>11</v>
      </c>
    </row>
    <row r="1598" spans="1:6" x14ac:dyDescent="0.25">
      <c r="A1598" t="str">
        <f>"01876384"</f>
        <v>01876384</v>
      </c>
      <c r="B1598" t="s">
        <v>1722</v>
      </c>
      <c r="C1598" t="s">
        <v>7</v>
      </c>
      <c r="D1598" t="str">
        <f t="shared" si="58"/>
        <v>561631</v>
      </c>
      <c r="E1598" t="s">
        <v>1704</v>
      </c>
      <c r="F1598" t="s">
        <v>38</v>
      </c>
    </row>
    <row r="1599" spans="1:6" x14ac:dyDescent="0.25">
      <c r="A1599" t="str">
        <f>"46750886"</f>
        <v>46750886</v>
      </c>
      <c r="B1599" t="s">
        <v>1723</v>
      </c>
      <c r="C1599" t="s">
        <v>7</v>
      </c>
      <c r="D1599" t="str">
        <f t="shared" si="58"/>
        <v>561631</v>
      </c>
      <c r="E1599" t="s">
        <v>1704</v>
      </c>
      <c r="F1599" t="s">
        <v>38</v>
      </c>
    </row>
    <row r="1600" spans="1:6" x14ac:dyDescent="0.25">
      <c r="A1600" t="str">
        <f>"48282120"</f>
        <v>48282120</v>
      </c>
      <c r="B1600" t="s">
        <v>1724</v>
      </c>
      <c r="C1600" t="s">
        <v>7</v>
      </c>
      <c r="D1600" t="str">
        <f t="shared" si="58"/>
        <v>561631</v>
      </c>
      <c r="E1600" t="s">
        <v>1704</v>
      </c>
      <c r="F1600" t="s">
        <v>38</v>
      </c>
    </row>
    <row r="1601" spans="1:6" x14ac:dyDescent="0.25">
      <c r="A1601" t="str">
        <f>"48282171"</f>
        <v>48282171</v>
      </c>
      <c r="B1601" t="s">
        <v>1725</v>
      </c>
      <c r="C1601" t="s">
        <v>7</v>
      </c>
      <c r="D1601" t="str">
        <f t="shared" si="58"/>
        <v>561631</v>
      </c>
      <c r="E1601" t="s">
        <v>1704</v>
      </c>
      <c r="F1601" t="s">
        <v>38</v>
      </c>
    </row>
    <row r="1602" spans="1:6" x14ac:dyDescent="0.25">
      <c r="A1602" t="str">
        <f>"01208462"</f>
        <v>01208462</v>
      </c>
      <c r="B1602" t="s">
        <v>1726</v>
      </c>
      <c r="C1602" t="s">
        <v>7</v>
      </c>
      <c r="D1602" t="str">
        <f t="shared" si="58"/>
        <v>561631</v>
      </c>
      <c r="E1602" t="s">
        <v>1704</v>
      </c>
      <c r="F1602" t="s">
        <v>38</v>
      </c>
    </row>
    <row r="1603" spans="1:6" x14ac:dyDescent="0.25">
      <c r="A1603" t="str">
        <f>"26620251"</f>
        <v>26620251</v>
      </c>
      <c r="B1603" t="s">
        <v>1727</v>
      </c>
      <c r="C1603" t="s">
        <v>7</v>
      </c>
      <c r="D1603" t="str">
        <f t="shared" si="58"/>
        <v>561631</v>
      </c>
      <c r="E1603" t="s">
        <v>1704</v>
      </c>
      <c r="F1603" t="s">
        <v>38</v>
      </c>
    </row>
    <row r="1604" spans="1:6" x14ac:dyDescent="0.25">
      <c r="A1604" t="str">
        <f>"48282430"</f>
        <v>48282430</v>
      </c>
      <c r="B1604" t="s">
        <v>1728</v>
      </c>
      <c r="C1604" t="s">
        <v>7</v>
      </c>
      <c r="D1604" t="str">
        <f t="shared" si="58"/>
        <v>561631</v>
      </c>
      <c r="E1604" t="s">
        <v>1704</v>
      </c>
      <c r="F1604" t="s">
        <v>38</v>
      </c>
    </row>
    <row r="1605" spans="1:6" x14ac:dyDescent="0.25">
      <c r="A1605" t="str">
        <f>"01505424"</f>
        <v>01505424</v>
      </c>
      <c r="B1605" t="s">
        <v>1729</v>
      </c>
      <c r="C1605" t="s">
        <v>7</v>
      </c>
      <c r="D1605" t="str">
        <f t="shared" si="58"/>
        <v>561631</v>
      </c>
      <c r="E1605" t="s">
        <v>1704</v>
      </c>
      <c r="F1605" t="s">
        <v>11</v>
      </c>
    </row>
    <row r="1606" spans="1:6" x14ac:dyDescent="0.25">
      <c r="A1606" t="str">
        <f>"27056104"</f>
        <v>27056104</v>
      </c>
      <c r="B1606" t="s">
        <v>1730</v>
      </c>
      <c r="C1606" t="s">
        <v>7</v>
      </c>
      <c r="D1606" t="str">
        <f t="shared" si="58"/>
        <v>561631</v>
      </c>
      <c r="E1606" t="s">
        <v>1704</v>
      </c>
      <c r="F1606" t="s">
        <v>424</v>
      </c>
    </row>
    <row r="1607" spans="1:6" x14ac:dyDescent="0.25">
      <c r="A1607" t="str">
        <f>"02195577"</f>
        <v>02195577</v>
      </c>
      <c r="B1607" t="s">
        <v>1731</v>
      </c>
      <c r="C1607" t="s">
        <v>7</v>
      </c>
      <c r="D1607" t="str">
        <f t="shared" si="58"/>
        <v>561631</v>
      </c>
      <c r="E1607" t="s">
        <v>1704</v>
      </c>
      <c r="F1607" t="s">
        <v>11</v>
      </c>
    </row>
    <row r="1608" spans="1:6" x14ac:dyDescent="0.25">
      <c r="A1608" t="str">
        <f>"70226130"</f>
        <v>70226130</v>
      </c>
      <c r="B1608" t="s">
        <v>1732</v>
      </c>
      <c r="C1608" t="s">
        <v>7</v>
      </c>
      <c r="D1608" t="str">
        <f t="shared" si="58"/>
        <v>561631</v>
      </c>
      <c r="E1608" t="s">
        <v>1704</v>
      </c>
      <c r="F1608" t="s">
        <v>35</v>
      </c>
    </row>
    <row r="1609" spans="1:6" x14ac:dyDescent="0.25">
      <c r="A1609" t="str">
        <f>"03160998"</f>
        <v>03160998</v>
      </c>
      <c r="B1609" t="s">
        <v>1733</v>
      </c>
      <c r="C1609" t="s">
        <v>7</v>
      </c>
      <c r="D1609" t="str">
        <f t="shared" si="58"/>
        <v>561631</v>
      </c>
      <c r="E1609" t="s">
        <v>1704</v>
      </c>
      <c r="F1609" t="s">
        <v>11</v>
      </c>
    </row>
    <row r="1610" spans="1:6" x14ac:dyDescent="0.25">
      <c r="A1610" t="str">
        <f>"13986066"</f>
        <v>13986066</v>
      </c>
      <c r="B1610" t="s">
        <v>1734</v>
      </c>
      <c r="C1610" t="s">
        <v>7</v>
      </c>
      <c r="D1610" t="str">
        <f t="shared" si="58"/>
        <v>561631</v>
      </c>
      <c r="E1610" t="s">
        <v>1704</v>
      </c>
      <c r="F1610" t="s">
        <v>11</v>
      </c>
    </row>
    <row r="1611" spans="1:6" x14ac:dyDescent="0.25">
      <c r="A1611" t="str">
        <f>"70836574"</f>
        <v>70836574</v>
      </c>
      <c r="B1611" t="s">
        <v>1735</v>
      </c>
      <c r="C1611" t="s">
        <v>43</v>
      </c>
      <c r="D1611" t="str">
        <f t="shared" si="58"/>
        <v>561631</v>
      </c>
      <c r="E1611" t="s">
        <v>1704</v>
      </c>
      <c r="F1611" t="s">
        <v>44</v>
      </c>
    </row>
    <row r="1612" spans="1:6" x14ac:dyDescent="0.25">
      <c r="A1612" t="str">
        <f>"22796932"</f>
        <v>22796932</v>
      </c>
      <c r="B1612" t="s">
        <v>1736</v>
      </c>
      <c r="C1612" t="s">
        <v>78</v>
      </c>
      <c r="D1612" t="str">
        <f t="shared" ref="D1612:D1636" si="59">"561631"</f>
        <v>561631</v>
      </c>
      <c r="E1612" t="s">
        <v>1704</v>
      </c>
      <c r="F1612" t="s">
        <v>13</v>
      </c>
    </row>
    <row r="1613" spans="1:6" x14ac:dyDescent="0.25">
      <c r="A1613" t="str">
        <f>"17137829"</f>
        <v>17137829</v>
      </c>
      <c r="B1613" t="s">
        <v>1737</v>
      </c>
      <c r="C1613" t="s">
        <v>7</v>
      </c>
      <c r="D1613" t="str">
        <f t="shared" si="59"/>
        <v>561631</v>
      </c>
      <c r="E1613" t="s">
        <v>1704</v>
      </c>
      <c r="F1613" t="s">
        <v>29</v>
      </c>
    </row>
    <row r="1614" spans="1:6" x14ac:dyDescent="0.25">
      <c r="A1614" t="str">
        <f>"01705407"</f>
        <v>01705407</v>
      </c>
      <c r="B1614" t="s">
        <v>1738</v>
      </c>
      <c r="C1614" t="s">
        <v>7</v>
      </c>
      <c r="D1614" t="str">
        <f t="shared" si="59"/>
        <v>561631</v>
      </c>
      <c r="E1614" t="s">
        <v>1704</v>
      </c>
      <c r="F1614" t="s">
        <v>389</v>
      </c>
    </row>
    <row r="1615" spans="1:6" x14ac:dyDescent="0.25">
      <c r="A1615" t="str">
        <f>"66112001"</f>
        <v>66112001</v>
      </c>
      <c r="B1615" t="s">
        <v>1739</v>
      </c>
      <c r="C1615" t="s">
        <v>7</v>
      </c>
      <c r="D1615" t="str">
        <f t="shared" si="59"/>
        <v>561631</v>
      </c>
      <c r="E1615" t="s">
        <v>1704</v>
      </c>
      <c r="F1615" t="s">
        <v>11</v>
      </c>
    </row>
    <row r="1616" spans="1:6" x14ac:dyDescent="0.25">
      <c r="A1616" t="str">
        <f>"65650344"</f>
        <v>65650344</v>
      </c>
      <c r="B1616" t="s">
        <v>1740</v>
      </c>
      <c r="C1616" t="s">
        <v>7</v>
      </c>
      <c r="D1616" t="str">
        <f t="shared" si="59"/>
        <v>561631</v>
      </c>
      <c r="E1616" t="s">
        <v>1704</v>
      </c>
      <c r="F1616" t="s">
        <v>11</v>
      </c>
    </row>
    <row r="1617" spans="1:6" x14ac:dyDescent="0.25">
      <c r="A1617" t="str">
        <f>"01593641"</f>
        <v>01593641</v>
      </c>
      <c r="B1617" t="s">
        <v>1741</v>
      </c>
      <c r="C1617" t="s">
        <v>7</v>
      </c>
      <c r="D1617" t="str">
        <f t="shared" si="59"/>
        <v>561631</v>
      </c>
      <c r="E1617" t="s">
        <v>1704</v>
      </c>
      <c r="F1617" t="s">
        <v>62</v>
      </c>
    </row>
    <row r="1618" spans="1:6" x14ac:dyDescent="0.25">
      <c r="A1618" t="str">
        <f>"26599465"</f>
        <v>26599465</v>
      </c>
      <c r="B1618" t="s">
        <v>1742</v>
      </c>
      <c r="C1618" t="s">
        <v>7</v>
      </c>
      <c r="D1618" t="str">
        <f t="shared" si="59"/>
        <v>561631</v>
      </c>
      <c r="E1618" t="s">
        <v>1704</v>
      </c>
      <c r="F1618" t="s">
        <v>11</v>
      </c>
    </row>
    <row r="1619" spans="1:6" x14ac:dyDescent="0.25">
      <c r="A1619" t="str">
        <f>"63778807"</f>
        <v>63778807</v>
      </c>
      <c r="B1619" t="s">
        <v>1743</v>
      </c>
      <c r="C1619" t="s">
        <v>15</v>
      </c>
      <c r="D1619" t="str">
        <f t="shared" si="59"/>
        <v>561631</v>
      </c>
      <c r="E1619" t="s">
        <v>1704</v>
      </c>
      <c r="F1619" t="s">
        <v>16</v>
      </c>
    </row>
    <row r="1620" spans="1:6" x14ac:dyDescent="0.25">
      <c r="A1620" t="str">
        <f>"71213571"</f>
        <v>71213571</v>
      </c>
      <c r="B1620" t="s">
        <v>1744</v>
      </c>
      <c r="C1620" t="s">
        <v>15</v>
      </c>
      <c r="D1620" t="str">
        <f t="shared" si="59"/>
        <v>561631</v>
      </c>
      <c r="E1620" t="s">
        <v>1704</v>
      </c>
      <c r="F1620" t="s">
        <v>16</v>
      </c>
    </row>
    <row r="1621" spans="1:6" x14ac:dyDescent="0.25">
      <c r="A1621" t="str">
        <f>"63778840"</f>
        <v>63778840</v>
      </c>
      <c r="B1621" t="s">
        <v>1745</v>
      </c>
      <c r="C1621" t="s">
        <v>15</v>
      </c>
      <c r="D1621" t="str">
        <f t="shared" si="59"/>
        <v>561631</v>
      </c>
      <c r="E1621" t="s">
        <v>1704</v>
      </c>
      <c r="F1621" t="s">
        <v>16</v>
      </c>
    </row>
    <row r="1622" spans="1:6" x14ac:dyDescent="0.25">
      <c r="A1622" t="str">
        <f>"63778700"</f>
        <v>63778700</v>
      </c>
      <c r="B1622" t="s">
        <v>1746</v>
      </c>
      <c r="C1622" t="s">
        <v>15</v>
      </c>
      <c r="D1622" t="str">
        <f t="shared" si="59"/>
        <v>561631</v>
      </c>
      <c r="E1622" t="s">
        <v>1704</v>
      </c>
      <c r="F1622" t="s">
        <v>16</v>
      </c>
    </row>
    <row r="1623" spans="1:6" x14ac:dyDescent="0.25">
      <c r="A1623" t="str">
        <f>"27051404"</f>
        <v>27051404</v>
      </c>
      <c r="B1623" t="s">
        <v>1747</v>
      </c>
      <c r="C1623" t="s">
        <v>7</v>
      </c>
      <c r="D1623" t="str">
        <f t="shared" si="59"/>
        <v>561631</v>
      </c>
      <c r="E1623" t="s">
        <v>1704</v>
      </c>
      <c r="F1623" t="s">
        <v>9</v>
      </c>
    </row>
    <row r="1624" spans="1:6" x14ac:dyDescent="0.25">
      <c r="A1624" t="str">
        <f>"26640007"</f>
        <v>26640007</v>
      </c>
      <c r="B1624" t="s">
        <v>1748</v>
      </c>
      <c r="C1624" t="s">
        <v>78</v>
      </c>
      <c r="D1624" t="str">
        <f t="shared" si="59"/>
        <v>561631</v>
      </c>
      <c r="E1624" t="s">
        <v>1704</v>
      </c>
      <c r="F1624" t="s">
        <v>139</v>
      </c>
    </row>
    <row r="1625" spans="1:6" x14ac:dyDescent="0.25">
      <c r="A1625" t="str">
        <f>"68299770"</f>
        <v>68299770</v>
      </c>
      <c r="B1625" t="s">
        <v>1749</v>
      </c>
      <c r="C1625" t="s">
        <v>7</v>
      </c>
      <c r="D1625" t="str">
        <f t="shared" si="59"/>
        <v>561631</v>
      </c>
      <c r="E1625" t="s">
        <v>1704</v>
      </c>
      <c r="F1625" t="s">
        <v>11</v>
      </c>
    </row>
    <row r="1626" spans="1:6" x14ac:dyDescent="0.25">
      <c r="A1626" t="str">
        <f>"22874569"</f>
        <v>22874569</v>
      </c>
      <c r="B1626" t="s">
        <v>1750</v>
      </c>
      <c r="C1626" t="s">
        <v>7</v>
      </c>
      <c r="D1626" t="str">
        <f t="shared" si="59"/>
        <v>561631</v>
      </c>
      <c r="E1626" t="s">
        <v>1704</v>
      </c>
      <c r="F1626" t="s">
        <v>11</v>
      </c>
    </row>
    <row r="1627" spans="1:6" x14ac:dyDescent="0.25">
      <c r="A1627" t="str">
        <f>"06158544"</f>
        <v>06158544</v>
      </c>
      <c r="B1627" t="s">
        <v>1751</v>
      </c>
      <c r="C1627" t="s">
        <v>7</v>
      </c>
      <c r="D1627" t="str">
        <f t="shared" si="59"/>
        <v>561631</v>
      </c>
      <c r="E1627" t="s">
        <v>1704</v>
      </c>
      <c r="F1627" t="s">
        <v>35</v>
      </c>
    </row>
    <row r="1628" spans="1:6" x14ac:dyDescent="0.25">
      <c r="A1628" t="str">
        <f>"26630109"</f>
        <v>26630109</v>
      </c>
      <c r="B1628" t="s">
        <v>1752</v>
      </c>
      <c r="C1628" t="s">
        <v>7</v>
      </c>
      <c r="D1628" t="str">
        <f t="shared" si="59"/>
        <v>561631</v>
      </c>
      <c r="E1628" t="s">
        <v>1704</v>
      </c>
      <c r="F1628" t="s">
        <v>9</v>
      </c>
    </row>
    <row r="1629" spans="1:6" x14ac:dyDescent="0.25">
      <c r="A1629" t="str">
        <f>"22676023"</f>
        <v>22676023</v>
      </c>
      <c r="B1629" t="s">
        <v>1753</v>
      </c>
      <c r="C1629" t="s">
        <v>7</v>
      </c>
      <c r="D1629" t="str">
        <f t="shared" si="59"/>
        <v>561631</v>
      </c>
      <c r="E1629" t="s">
        <v>1704</v>
      </c>
      <c r="F1629" t="s">
        <v>9</v>
      </c>
    </row>
    <row r="1630" spans="1:6" x14ac:dyDescent="0.25">
      <c r="A1630" t="str">
        <f>"26612704"</f>
        <v>26612704</v>
      </c>
      <c r="B1630" t="s">
        <v>1754</v>
      </c>
      <c r="C1630" t="s">
        <v>7</v>
      </c>
      <c r="D1630" t="str">
        <f t="shared" si="59"/>
        <v>561631</v>
      </c>
      <c r="E1630" t="s">
        <v>1704</v>
      </c>
      <c r="F1630" t="s">
        <v>9</v>
      </c>
    </row>
    <row r="1631" spans="1:6" x14ac:dyDescent="0.25">
      <c r="A1631" t="str">
        <f>"48283193"</f>
        <v>48283193</v>
      </c>
      <c r="B1631" t="s">
        <v>1755</v>
      </c>
      <c r="C1631" t="s">
        <v>7</v>
      </c>
      <c r="D1631" t="str">
        <f t="shared" si="59"/>
        <v>561631</v>
      </c>
      <c r="E1631" t="s">
        <v>1704</v>
      </c>
      <c r="F1631" t="s">
        <v>9</v>
      </c>
    </row>
    <row r="1632" spans="1:6" x14ac:dyDescent="0.25">
      <c r="A1632" t="str">
        <f>"46750011"</f>
        <v>46750011</v>
      </c>
      <c r="B1632" t="s">
        <v>1756</v>
      </c>
      <c r="C1632" t="s">
        <v>7</v>
      </c>
      <c r="D1632" t="str">
        <f t="shared" si="59"/>
        <v>561631</v>
      </c>
      <c r="E1632" t="s">
        <v>1704</v>
      </c>
      <c r="F1632" t="s">
        <v>9</v>
      </c>
    </row>
    <row r="1633" spans="1:6" x14ac:dyDescent="0.25">
      <c r="A1633" t="str">
        <f>"46750398"</f>
        <v>46750398</v>
      </c>
      <c r="B1633" t="s">
        <v>1757</v>
      </c>
      <c r="C1633" t="s">
        <v>7</v>
      </c>
      <c r="D1633" t="str">
        <f t="shared" si="59"/>
        <v>561631</v>
      </c>
      <c r="E1633" t="s">
        <v>1704</v>
      </c>
      <c r="F1633" t="s">
        <v>9</v>
      </c>
    </row>
    <row r="1634" spans="1:6" x14ac:dyDescent="0.25">
      <c r="A1634" t="str">
        <f>"09284311"</f>
        <v>09284311</v>
      </c>
      <c r="B1634" t="s">
        <v>1758</v>
      </c>
      <c r="C1634" t="s">
        <v>7</v>
      </c>
      <c r="D1634" t="str">
        <f t="shared" si="59"/>
        <v>561631</v>
      </c>
      <c r="E1634" t="s">
        <v>1704</v>
      </c>
      <c r="F1634" t="s">
        <v>35</v>
      </c>
    </row>
    <row r="1635" spans="1:6" x14ac:dyDescent="0.25">
      <c r="A1635" t="str">
        <f>"21666351"</f>
        <v>21666351</v>
      </c>
      <c r="B1635" t="s">
        <v>1759</v>
      </c>
      <c r="C1635" t="s">
        <v>20</v>
      </c>
      <c r="D1635" t="str">
        <f t="shared" si="59"/>
        <v>561631</v>
      </c>
      <c r="E1635" t="s">
        <v>1704</v>
      </c>
      <c r="F1635" t="s">
        <v>21</v>
      </c>
    </row>
    <row r="1636" spans="1:6" x14ac:dyDescent="0.25">
      <c r="A1636" t="str">
        <f>"75095831"</f>
        <v>75095831</v>
      </c>
      <c r="B1636" t="s">
        <v>1760</v>
      </c>
      <c r="C1636" t="s">
        <v>20</v>
      </c>
      <c r="D1636" t="str">
        <f t="shared" si="59"/>
        <v>561631</v>
      </c>
      <c r="E1636" t="s">
        <v>1704</v>
      </c>
      <c r="F1636" t="s">
        <v>21</v>
      </c>
    </row>
    <row r="1637" spans="1:6" x14ac:dyDescent="0.25">
      <c r="A1637" t="str">
        <f>"09837159"</f>
        <v>09837159</v>
      </c>
      <c r="B1637" t="s">
        <v>1761</v>
      </c>
      <c r="C1637" t="s">
        <v>7</v>
      </c>
      <c r="D1637" t="str">
        <f t="shared" ref="D1637:D1655" si="60">"563595"</f>
        <v>563595</v>
      </c>
      <c r="E1637" t="s">
        <v>1762</v>
      </c>
      <c r="F1637" t="s">
        <v>13</v>
      </c>
    </row>
    <row r="1638" spans="1:6" x14ac:dyDescent="0.25">
      <c r="A1638" t="str">
        <f>"64668550"</f>
        <v>64668550</v>
      </c>
      <c r="B1638" t="s">
        <v>1763</v>
      </c>
      <c r="C1638" t="s">
        <v>7</v>
      </c>
      <c r="D1638" t="str">
        <f t="shared" si="60"/>
        <v>563595</v>
      </c>
      <c r="E1638" t="s">
        <v>1762</v>
      </c>
      <c r="F1638" t="s">
        <v>9</v>
      </c>
    </row>
    <row r="1639" spans="1:6" x14ac:dyDescent="0.25">
      <c r="A1639" t="str">
        <f>"26612852"</f>
        <v>26612852</v>
      </c>
      <c r="B1639" t="s">
        <v>1764</v>
      </c>
      <c r="C1639" t="s">
        <v>7</v>
      </c>
      <c r="D1639" t="str">
        <f t="shared" si="60"/>
        <v>563595</v>
      </c>
      <c r="E1639" t="s">
        <v>1762</v>
      </c>
      <c r="F1639" t="s">
        <v>11</v>
      </c>
    </row>
    <row r="1640" spans="1:6" x14ac:dyDescent="0.25">
      <c r="A1640" t="str">
        <f>"25498681"</f>
        <v>25498681</v>
      </c>
      <c r="B1640" t="s">
        <v>1765</v>
      </c>
      <c r="C1640" t="s">
        <v>78</v>
      </c>
      <c r="D1640" t="str">
        <f t="shared" si="60"/>
        <v>563595</v>
      </c>
      <c r="E1640" t="s">
        <v>1762</v>
      </c>
      <c r="F1640" t="s">
        <v>62</v>
      </c>
    </row>
    <row r="1641" spans="1:6" x14ac:dyDescent="0.25">
      <c r="A1641" t="str">
        <f>"22608737"</f>
        <v>22608737</v>
      </c>
      <c r="B1641" t="s">
        <v>1766</v>
      </c>
      <c r="C1641" t="s">
        <v>7</v>
      </c>
      <c r="D1641" t="str">
        <f t="shared" si="60"/>
        <v>563595</v>
      </c>
      <c r="E1641" t="s">
        <v>1762</v>
      </c>
      <c r="F1641" t="s">
        <v>11</v>
      </c>
    </row>
    <row r="1642" spans="1:6" x14ac:dyDescent="0.25">
      <c r="A1642" t="str">
        <f>"60252821"</f>
        <v>60252821</v>
      </c>
      <c r="B1642" t="s">
        <v>1767</v>
      </c>
      <c r="C1642" t="s">
        <v>7</v>
      </c>
      <c r="D1642" t="str">
        <f t="shared" si="60"/>
        <v>563595</v>
      </c>
      <c r="E1642" t="s">
        <v>1762</v>
      </c>
      <c r="F1642" t="s">
        <v>9</v>
      </c>
    </row>
    <row r="1643" spans="1:6" x14ac:dyDescent="0.25">
      <c r="A1643" t="str">
        <f>"26668882"</f>
        <v>26668882</v>
      </c>
      <c r="B1643" t="s">
        <v>1768</v>
      </c>
      <c r="C1643" t="s">
        <v>7</v>
      </c>
      <c r="D1643" t="str">
        <f t="shared" si="60"/>
        <v>563595</v>
      </c>
      <c r="E1643" t="s">
        <v>1762</v>
      </c>
      <c r="F1643" t="s">
        <v>11</v>
      </c>
    </row>
    <row r="1644" spans="1:6" x14ac:dyDescent="0.25">
      <c r="A1644" t="str">
        <f>"09115021"</f>
        <v>09115021</v>
      </c>
      <c r="B1644" t="s">
        <v>1769</v>
      </c>
      <c r="C1644" t="s">
        <v>15</v>
      </c>
      <c r="D1644" t="str">
        <f t="shared" si="60"/>
        <v>563595</v>
      </c>
      <c r="E1644" t="s">
        <v>1762</v>
      </c>
      <c r="F1644" t="s">
        <v>29</v>
      </c>
    </row>
    <row r="1645" spans="1:6" x14ac:dyDescent="0.25">
      <c r="A1645" t="str">
        <f>"01277481"</f>
        <v>01277481</v>
      </c>
      <c r="B1645" t="s">
        <v>1770</v>
      </c>
      <c r="C1645" t="s">
        <v>7</v>
      </c>
      <c r="D1645" t="str">
        <f t="shared" si="60"/>
        <v>563595</v>
      </c>
      <c r="E1645" t="s">
        <v>1762</v>
      </c>
      <c r="F1645" t="s">
        <v>11</v>
      </c>
    </row>
    <row r="1646" spans="1:6" x14ac:dyDescent="0.25">
      <c r="A1646" t="str">
        <f>"64669424"</f>
        <v>64669424</v>
      </c>
      <c r="B1646" t="s">
        <v>1771</v>
      </c>
      <c r="C1646" t="s">
        <v>15</v>
      </c>
      <c r="D1646" t="str">
        <f t="shared" si="60"/>
        <v>563595</v>
      </c>
      <c r="E1646" t="s">
        <v>1762</v>
      </c>
      <c r="F1646" t="s">
        <v>11</v>
      </c>
    </row>
    <row r="1647" spans="1:6" x14ac:dyDescent="0.25">
      <c r="A1647" t="str">
        <f>"60254998"</f>
        <v>60254998</v>
      </c>
      <c r="B1647" t="s">
        <v>1772</v>
      </c>
      <c r="C1647" t="s">
        <v>15</v>
      </c>
      <c r="D1647" t="str">
        <f t="shared" si="60"/>
        <v>563595</v>
      </c>
      <c r="E1647" t="s">
        <v>1762</v>
      </c>
      <c r="F1647" t="s">
        <v>16</v>
      </c>
    </row>
    <row r="1648" spans="1:6" x14ac:dyDescent="0.25">
      <c r="A1648" t="str">
        <f>"27005917"</f>
        <v>27005917</v>
      </c>
      <c r="B1648" t="s">
        <v>1773</v>
      </c>
      <c r="C1648" t="s">
        <v>7</v>
      </c>
      <c r="D1648" t="str">
        <f t="shared" si="60"/>
        <v>563595</v>
      </c>
      <c r="E1648" t="s">
        <v>1762</v>
      </c>
      <c r="F1648" t="s">
        <v>9</v>
      </c>
    </row>
    <row r="1649" spans="1:6" x14ac:dyDescent="0.25">
      <c r="A1649" t="str">
        <f>"64668932"</f>
        <v>64668932</v>
      </c>
      <c r="B1649" t="s">
        <v>1774</v>
      </c>
      <c r="C1649" t="s">
        <v>7</v>
      </c>
      <c r="D1649" t="str">
        <f t="shared" si="60"/>
        <v>563595</v>
      </c>
      <c r="E1649" t="s">
        <v>1762</v>
      </c>
      <c r="F1649" t="s">
        <v>9</v>
      </c>
    </row>
    <row r="1650" spans="1:6" x14ac:dyDescent="0.25">
      <c r="A1650" t="str">
        <f>"17143942"</f>
        <v>17143942</v>
      </c>
      <c r="B1650" t="s">
        <v>1775</v>
      </c>
      <c r="C1650" t="s">
        <v>7</v>
      </c>
      <c r="D1650" t="str">
        <f t="shared" si="60"/>
        <v>563595</v>
      </c>
      <c r="E1650" t="s">
        <v>1762</v>
      </c>
      <c r="F1650" t="s">
        <v>29</v>
      </c>
    </row>
    <row r="1651" spans="1:6" x14ac:dyDescent="0.25">
      <c r="A1651" t="str">
        <f>"60253541"</f>
        <v>60253541</v>
      </c>
      <c r="B1651" t="s">
        <v>1776</v>
      </c>
      <c r="C1651" t="s">
        <v>7</v>
      </c>
      <c r="D1651" t="str">
        <f t="shared" si="60"/>
        <v>563595</v>
      </c>
      <c r="E1651" t="s">
        <v>1762</v>
      </c>
      <c r="F1651" t="s">
        <v>1777</v>
      </c>
    </row>
    <row r="1652" spans="1:6" x14ac:dyDescent="0.25">
      <c r="A1652" t="str">
        <f>"02438151"</f>
        <v>02438151</v>
      </c>
      <c r="B1652" t="s">
        <v>1778</v>
      </c>
      <c r="C1652" t="s">
        <v>7</v>
      </c>
      <c r="D1652" t="str">
        <f t="shared" si="60"/>
        <v>563595</v>
      </c>
      <c r="E1652" t="s">
        <v>1762</v>
      </c>
      <c r="F1652" t="s">
        <v>11</v>
      </c>
    </row>
    <row r="1653" spans="1:6" x14ac:dyDescent="0.25">
      <c r="A1653" t="str">
        <f>"26551373"</f>
        <v>26551373</v>
      </c>
      <c r="B1653" t="s">
        <v>1779</v>
      </c>
      <c r="C1653" t="s">
        <v>7</v>
      </c>
      <c r="D1653" t="str">
        <f t="shared" si="60"/>
        <v>563595</v>
      </c>
      <c r="E1653" t="s">
        <v>1762</v>
      </c>
      <c r="F1653" t="s">
        <v>9</v>
      </c>
    </row>
    <row r="1654" spans="1:6" x14ac:dyDescent="0.25">
      <c r="A1654" t="str">
        <f>"08790752"</f>
        <v>08790752</v>
      </c>
      <c r="B1654" t="s">
        <v>1780</v>
      </c>
      <c r="C1654" t="s">
        <v>7</v>
      </c>
      <c r="D1654" t="str">
        <f t="shared" si="60"/>
        <v>563595</v>
      </c>
      <c r="E1654" t="s">
        <v>1762</v>
      </c>
      <c r="F1654" t="s">
        <v>13</v>
      </c>
    </row>
    <row r="1655" spans="1:6" x14ac:dyDescent="0.25">
      <c r="A1655" t="str">
        <f>"44223692"</f>
        <v>44223692</v>
      </c>
      <c r="B1655" t="s">
        <v>1781</v>
      </c>
      <c r="C1655" t="s">
        <v>7</v>
      </c>
      <c r="D1655" t="str">
        <f t="shared" si="60"/>
        <v>563595</v>
      </c>
      <c r="E1655" t="s">
        <v>1762</v>
      </c>
      <c r="F1655" t="s">
        <v>9</v>
      </c>
    </row>
    <row r="1656" spans="1:6" x14ac:dyDescent="0.25">
      <c r="A1656" t="str">
        <f>"69388733"</f>
        <v>69388733</v>
      </c>
      <c r="B1656" t="s">
        <v>1782</v>
      </c>
      <c r="C1656" t="s">
        <v>15</v>
      </c>
      <c r="D1656" t="str">
        <f>"561657"</f>
        <v>561657</v>
      </c>
      <c r="E1656" t="s">
        <v>1783</v>
      </c>
      <c r="F1656" t="s">
        <v>65</v>
      </c>
    </row>
    <row r="1657" spans="1:6" x14ac:dyDescent="0.25">
      <c r="A1657" t="str">
        <f>"26612470"</f>
        <v>26612470</v>
      </c>
      <c r="B1657" t="s">
        <v>1784</v>
      </c>
      <c r="C1657" t="s">
        <v>7</v>
      </c>
      <c r="D1657" t="str">
        <f>"561657"</f>
        <v>561657</v>
      </c>
      <c r="E1657" t="s">
        <v>1783</v>
      </c>
      <c r="F1657" t="s">
        <v>38</v>
      </c>
    </row>
    <row r="1658" spans="1:6" x14ac:dyDescent="0.25">
      <c r="A1658" t="str">
        <f>"09316523"</f>
        <v>09316523</v>
      </c>
      <c r="B1658" t="s">
        <v>1785</v>
      </c>
      <c r="C1658" t="s">
        <v>7</v>
      </c>
      <c r="D1658" t="str">
        <f t="shared" ref="D1658:D1663" si="61">"546658"</f>
        <v>546658</v>
      </c>
      <c r="E1658" t="s">
        <v>1786</v>
      </c>
      <c r="F1658" t="s">
        <v>18</v>
      </c>
    </row>
    <row r="1659" spans="1:6" x14ac:dyDescent="0.25">
      <c r="A1659" t="str">
        <f>"46745459"</f>
        <v>46745459</v>
      </c>
      <c r="B1659" t="s">
        <v>1787</v>
      </c>
      <c r="C1659" t="s">
        <v>37</v>
      </c>
      <c r="D1659" t="str">
        <f t="shared" si="61"/>
        <v>546658</v>
      </c>
      <c r="E1659" t="s">
        <v>1786</v>
      </c>
      <c r="F1659" t="s">
        <v>38</v>
      </c>
    </row>
    <row r="1660" spans="1:6" x14ac:dyDescent="0.25">
      <c r="A1660" t="str">
        <f>"46745653"</f>
        <v>46745653</v>
      </c>
      <c r="B1660" t="s">
        <v>1788</v>
      </c>
      <c r="C1660" t="s">
        <v>7</v>
      </c>
      <c r="D1660" t="str">
        <f t="shared" si="61"/>
        <v>546658</v>
      </c>
      <c r="E1660" t="s">
        <v>1786</v>
      </c>
      <c r="F1660" t="s">
        <v>38</v>
      </c>
    </row>
    <row r="1661" spans="1:6" x14ac:dyDescent="0.25">
      <c r="A1661" t="str">
        <f>"22898026"</f>
        <v>22898026</v>
      </c>
      <c r="B1661" t="s">
        <v>1789</v>
      </c>
      <c r="C1661" t="s">
        <v>7</v>
      </c>
      <c r="D1661" t="str">
        <f t="shared" si="61"/>
        <v>546658</v>
      </c>
      <c r="E1661" t="s">
        <v>1786</v>
      </c>
      <c r="F1661" t="s">
        <v>11</v>
      </c>
    </row>
    <row r="1662" spans="1:6" x14ac:dyDescent="0.25">
      <c r="A1662" t="str">
        <f>"49112147"</f>
        <v>49112147</v>
      </c>
      <c r="B1662" t="s">
        <v>1790</v>
      </c>
      <c r="C1662" t="s">
        <v>15</v>
      </c>
      <c r="D1662" t="str">
        <f t="shared" si="61"/>
        <v>546658</v>
      </c>
      <c r="E1662" t="s">
        <v>1786</v>
      </c>
      <c r="F1662" t="s">
        <v>16</v>
      </c>
    </row>
    <row r="1663" spans="1:6" x14ac:dyDescent="0.25">
      <c r="A1663" t="str">
        <f>"03422372"</f>
        <v>03422372</v>
      </c>
      <c r="B1663" t="s">
        <v>1791</v>
      </c>
      <c r="C1663" t="s">
        <v>7</v>
      </c>
      <c r="D1663" t="str">
        <f t="shared" si="61"/>
        <v>546658</v>
      </c>
      <c r="E1663" t="s">
        <v>1786</v>
      </c>
      <c r="F1663" t="s">
        <v>35</v>
      </c>
    </row>
    <row r="1664" spans="1:6" x14ac:dyDescent="0.25">
      <c r="A1664" t="str">
        <f>"19714386"</f>
        <v>19714386</v>
      </c>
      <c r="B1664" t="s">
        <v>1792</v>
      </c>
      <c r="C1664" t="s">
        <v>7</v>
      </c>
      <c r="D1664" t="str">
        <f t="shared" ref="D1664:D1672" si="62">"563609"</f>
        <v>563609</v>
      </c>
      <c r="E1664" t="s">
        <v>1793</v>
      </c>
      <c r="F1664" t="s">
        <v>11</v>
      </c>
    </row>
    <row r="1665" spans="1:6" x14ac:dyDescent="0.25">
      <c r="A1665" t="str">
        <f>"64668576"</f>
        <v>64668576</v>
      </c>
      <c r="B1665" t="s">
        <v>1794</v>
      </c>
      <c r="C1665" t="s">
        <v>15</v>
      </c>
      <c r="D1665" t="str">
        <f t="shared" si="62"/>
        <v>563609</v>
      </c>
      <c r="E1665" t="s">
        <v>1793</v>
      </c>
      <c r="F1665" t="s">
        <v>9</v>
      </c>
    </row>
    <row r="1666" spans="1:6" x14ac:dyDescent="0.25">
      <c r="A1666" t="str">
        <f>"64668851"</f>
        <v>64668851</v>
      </c>
      <c r="B1666" t="s">
        <v>1795</v>
      </c>
      <c r="C1666" t="s">
        <v>43</v>
      </c>
      <c r="D1666" t="str">
        <f t="shared" si="62"/>
        <v>563609</v>
      </c>
      <c r="E1666" t="s">
        <v>1793</v>
      </c>
      <c r="F1666" t="s">
        <v>44</v>
      </c>
    </row>
    <row r="1667" spans="1:6" x14ac:dyDescent="0.25">
      <c r="A1667" t="str">
        <f>"06840710"</f>
        <v>06840710</v>
      </c>
      <c r="B1667" t="s">
        <v>1796</v>
      </c>
      <c r="C1667" t="s">
        <v>7</v>
      </c>
      <c r="D1667" t="str">
        <f t="shared" si="62"/>
        <v>563609</v>
      </c>
      <c r="E1667" t="s">
        <v>1793</v>
      </c>
      <c r="F1667" t="s">
        <v>35</v>
      </c>
    </row>
    <row r="1668" spans="1:6" x14ac:dyDescent="0.25">
      <c r="A1668" t="str">
        <f>"64668002"</f>
        <v>64668002</v>
      </c>
      <c r="B1668" t="s">
        <v>1797</v>
      </c>
      <c r="C1668" t="s">
        <v>15</v>
      </c>
      <c r="D1668" t="str">
        <f t="shared" si="62"/>
        <v>563609</v>
      </c>
      <c r="E1668" t="s">
        <v>1793</v>
      </c>
      <c r="F1668" t="s">
        <v>16</v>
      </c>
    </row>
    <row r="1669" spans="1:6" x14ac:dyDescent="0.25">
      <c r="A1669" t="str">
        <f>"64668126"</f>
        <v>64668126</v>
      </c>
      <c r="B1669" t="s">
        <v>1798</v>
      </c>
      <c r="C1669" t="s">
        <v>15</v>
      </c>
      <c r="D1669" t="str">
        <f t="shared" si="62"/>
        <v>563609</v>
      </c>
      <c r="E1669" t="s">
        <v>1793</v>
      </c>
      <c r="F1669" t="s">
        <v>16</v>
      </c>
    </row>
    <row r="1670" spans="1:6" x14ac:dyDescent="0.25">
      <c r="A1670" t="str">
        <f>"27014061"</f>
        <v>27014061</v>
      </c>
      <c r="B1670" t="s">
        <v>1799</v>
      </c>
      <c r="C1670" t="s">
        <v>7</v>
      </c>
      <c r="D1670" t="str">
        <f t="shared" si="62"/>
        <v>563609</v>
      </c>
      <c r="E1670" t="s">
        <v>1793</v>
      </c>
      <c r="F1670" t="s">
        <v>9</v>
      </c>
    </row>
    <row r="1671" spans="1:6" x14ac:dyDescent="0.25">
      <c r="A1671" t="str">
        <f>"00554545"</f>
        <v>00554545</v>
      </c>
      <c r="B1671" t="s">
        <v>1800</v>
      </c>
      <c r="C1671" t="s">
        <v>7</v>
      </c>
      <c r="D1671" t="str">
        <f t="shared" si="62"/>
        <v>563609</v>
      </c>
      <c r="E1671" t="s">
        <v>1793</v>
      </c>
      <c r="F1671" t="s">
        <v>9</v>
      </c>
    </row>
    <row r="1672" spans="1:6" x14ac:dyDescent="0.25">
      <c r="A1672" t="str">
        <f>"72551313"</f>
        <v>72551313</v>
      </c>
      <c r="B1672" t="s">
        <v>1801</v>
      </c>
      <c r="C1672" t="s">
        <v>15</v>
      </c>
      <c r="D1672" t="str">
        <f t="shared" si="62"/>
        <v>563609</v>
      </c>
      <c r="E1672" t="s">
        <v>1793</v>
      </c>
      <c r="F1672" t="s">
        <v>9</v>
      </c>
    </row>
    <row r="1673" spans="1:6" x14ac:dyDescent="0.25">
      <c r="A1673" t="str">
        <f>"49295322"</f>
        <v>49295322</v>
      </c>
      <c r="B1673" t="s">
        <v>1802</v>
      </c>
      <c r="C1673" t="s">
        <v>15</v>
      </c>
      <c r="D1673" t="str">
        <f t="shared" ref="D1673:D1679" si="63">"577171"</f>
        <v>577171</v>
      </c>
      <c r="E1673" t="s">
        <v>1803</v>
      </c>
      <c r="F1673" t="s">
        <v>9</v>
      </c>
    </row>
    <row r="1674" spans="1:6" x14ac:dyDescent="0.25">
      <c r="A1674" t="str">
        <f>"75109697"</f>
        <v>75109697</v>
      </c>
      <c r="B1674" t="s">
        <v>1804</v>
      </c>
      <c r="C1674" t="s">
        <v>15</v>
      </c>
      <c r="D1674" t="str">
        <f t="shared" si="63"/>
        <v>577171</v>
      </c>
      <c r="E1674" t="s">
        <v>1803</v>
      </c>
      <c r="F1674" t="s">
        <v>29</v>
      </c>
    </row>
    <row r="1675" spans="1:6" x14ac:dyDescent="0.25">
      <c r="A1675" t="str">
        <f>"45599297"</f>
        <v>45599297</v>
      </c>
      <c r="B1675" t="s">
        <v>1805</v>
      </c>
      <c r="C1675" t="s">
        <v>37</v>
      </c>
      <c r="D1675" t="str">
        <f t="shared" si="63"/>
        <v>577171</v>
      </c>
      <c r="E1675" t="s">
        <v>1803</v>
      </c>
      <c r="F1675" t="s">
        <v>38</v>
      </c>
    </row>
    <row r="1676" spans="1:6" x14ac:dyDescent="0.25">
      <c r="A1676" t="str">
        <f>"02958414"</f>
        <v>02958414</v>
      </c>
      <c r="B1676" t="s">
        <v>1806</v>
      </c>
      <c r="C1676" t="s">
        <v>7</v>
      </c>
      <c r="D1676" t="str">
        <f t="shared" si="63"/>
        <v>577171</v>
      </c>
      <c r="E1676" t="s">
        <v>1803</v>
      </c>
      <c r="F1676" t="s">
        <v>11</v>
      </c>
    </row>
    <row r="1677" spans="1:6" x14ac:dyDescent="0.25">
      <c r="A1677" t="str">
        <f>"45597707"</f>
        <v>45597707</v>
      </c>
      <c r="B1677" t="s">
        <v>1807</v>
      </c>
      <c r="C1677" t="s">
        <v>7</v>
      </c>
      <c r="D1677" t="str">
        <f t="shared" si="63"/>
        <v>577171</v>
      </c>
      <c r="E1677" t="s">
        <v>1803</v>
      </c>
      <c r="F1677" t="s">
        <v>38</v>
      </c>
    </row>
    <row r="1678" spans="1:6" x14ac:dyDescent="0.25">
      <c r="A1678" t="str">
        <f>"62013009"</f>
        <v>62013009</v>
      </c>
      <c r="B1678" t="s">
        <v>1808</v>
      </c>
      <c r="C1678" t="s">
        <v>15</v>
      </c>
      <c r="D1678" t="str">
        <f t="shared" si="63"/>
        <v>577171</v>
      </c>
      <c r="E1678" t="s">
        <v>1803</v>
      </c>
      <c r="F1678" t="s">
        <v>16</v>
      </c>
    </row>
    <row r="1679" spans="1:6" x14ac:dyDescent="0.25">
      <c r="A1679" t="str">
        <f>"45599025"</f>
        <v>45599025</v>
      </c>
      <c r="B1679" t="s">
        <v>1809</v>
      </c>
      <c r="C1679" t="s">
        <v>15</v>
      </c>
      <c r="D1679" t="str">
        <f t="shared" si="63"/>
        <v>577171</v>
      </c>
      <c r="E1679" t="s">
        <v>1803</v>
      </c>
      <c r="F1679" t="s">
        <v>9</v>
      </c>
    </row>
    <row r="1680" spans="1:6" x14ac:dyDescent="0.25">
      <c r="A1680" t="str">
        <f>"45598665"</f>
        <v>45598665</v>
      </c>
      <c r="B1680" t="s">
        <v>1810</v>
      </c>
      <c r="C1680" t="s">
        <v>43</v>
      </c>
      <c r="D1680" t="str">
        <f>"577189"</f>
        <v>577189</v>
      </c>
      <c r="E1680" t="s">
        <v>1811</v>
      </c>
      <c r="F1680" t="s">
        <v>44</v>
      </c>
    </row>
    <row r="1681" spans="1:6" x14ac:dyDescent="0.25">
      <c r="A1681" t="str">
        <f>"22878106"</f>
        <v>22878106</v>
      </c>
      <c r="B1681" t="s">
        <v>1812</v>
      </c>
      <c r="C1681" t="s">
        <v>7</v>
      </c>
      <c r="D1681" t="str">
        <f>"577189"</f>
        <v>577189</v>
      </c>
      <c r="E1681" t="s">
        <v>1811</v>
      </c>
      <c r="F1681" t="s">
        <v>18</v>
      </c>
    </row>
    <row r="1682" spans="1:6" x14ac:dyDescent="0.25">
      <c r="A1682" t="str">
        <f>"62014137"</f>
        <v>62014137</v>
      </c>
      <c r="B1682" t="s">
        <v>1813</v>
      </c>
      <c r="C1682" t="s">
        <v>15</v>
      </c>
      <c r="D1682" t="str">
        <f>"577189"</f>
        <v>577189</v>
      </c>
      <c r="E1682" t="s">
        <v>1811</v>
      </c>
      <c r="F1682" t="s">
        <v>16</v>
      </c>
    </row>
    <row r="1683" spans="1:6" x14ac:dyDescent="0.25">
      <c r="A1683" t="str">
        <f>"26523493"</f>
        <v>26523493</v>
      </c>
      <c r="B1683" t="s">
        <v>1814</v>
      </c>
      <c r="C1683" t="s">
        <v>7</v>
      </c>
      <c r="D1683" t="str">
        <f>"577189"</f>
        <v>577189</v>
      </c>
      <c r="E1683" t="s">
        <v>1811</v>
      </c>
      <c r="F1683" t="s">
        <v>11</v>
      </c>
    </row>
    <row r="1684" spans="1:6" x14ac:dyDescent="0.25">
      <c r="A1684" t="str">
        <f>"17800021"</f>
        <v>17800021</v>
      </c>
      <c r="B1684" t="s">
        <v>1815</v>
      </c>
      <c r="C1684" t="s">
        <v>7</v>
      </c>
      <c r="D1684" t="str">
        <f>"577189"</f>
        <v>577189</v>
      </c>
      <c r="E1684" t="s">
        <v>1811</v>
      </c>
      <c r="F1684" t="s">
        <v>62</v>
      </c>
    </row>
    <row r="1685" spans="1:6" x14ac:dyDescent="0.25">
      <c r="A1685" t="str">
        <f>"71179186"</f>
        <v>71179186</v>
      </c>
      <c r="B1685" t="s">
        <v>1816</v>
      </c>
      <c r="C1685" t="s">
        <v>37</v>
      </c>
      <c r="D1685" t="str">
        <f t="shared" ref="D1685:D1693" si="64">"561665"</f>
        <v>561665</v>
      </c>
      <c r="E1685" t="s">
        <v>1817</v>
      </c>
      <c r="F1685" t="s">
        <v>38</v>
      </c>
    </row>
    <row r="1686" spans="1:6" x14ac:dyDescent="0.25">
      <c r="A1686" t="str">
        <f>"46750916"</f>
        <v>46750916</v>
      </c>
      <c r="B1686" t="s">
        <v>1818</v>
      </c>
      <c r="C1686" t="s">
        <v>7</v>
      </c>
      <c r="D1686" t="str">
        <f t="shared" si="64"/>
        <v>561665</v>
      </c>
      <c r="E1686" t="s">
        <v>1817</v>
      </c>
      <c r="F1686" t="s">
        <v>38</v>
      </c>
    </row>
    <row r="1687" spans="1:6" x14ac:dyDescent="0.25">
      <c r="A1687" t="str">
        <f>"48282472"</f>
        <v>48282472</v>
      </c>
      <c r="B1687" t="s">
        <v>1819</v>
      </c>
      <c r="C1687" t="s">
        <v>7</v>
      </c>
      <c r="D1687" t="str">
        <f t="shared" si="64"/>
        <v>561665</v>
      </c>
      <c r="E1687" t="s">
        <v>1817</v>
      </c>
      <c r="F1687" t="s">
        <v>38</v>
      </c>
    </row>
    <row r="1688" spans="1:6" x14ac:dyDescent="0.25">
      <c r="A1688" t="str">
        <f>"22765395"</f>
        <v>22765395</v>
      </c>
      <c r="B1688" t="s">
        <v>1820</v>
      </c>
      <c r="C1688" t="s">
        <v>7</v>
      </c>
      <c r="D1688" t="str">
        <f t="shared" si="64"/>
        <v>561665</v>
      </c>
      <c r="E1688" t="s">
        <v>1817</v>
      </c>
      <c r="F1688" t="s">
        <v>18</v>
      </c>
    </row>
    <row r="1689" spans="1:6" x14ac:dyDescent="0.25">
      <c r="A1689" t="str">
        <f>"26554470"</f>
        <v>26554470</v>
      </c>
      <c r="B1689" t="s">
        <v>1821</v>
      </c>
      <c r="C1689" t="s">
        <v>7</v>
      </c>
      <c r="D1689" t="str">
        <f t="shared" si="64"/>
        <v>561665</v>
      </c>
      <c r="E1689" t="s">
        <v>1817</v>
      </c>
      <c r="F1689" t="s">
        <v>18</v>
      </c>
    </row>
    <row r="1690" spans="1:6" x14ac:dyDescent="0.25">
      <c r="A1690" t="str">
        <f>"26999277"</f>
        <v>26999277</v>
      </c>
      <c r="B1690" t="s">
        <v>1822</v>
      </c>
      <c r="C1690" t="s">
        <v>7</v>
      </c>
      <c r="D1690" t="str">
        <f t="shared" si="64"/>
        <v>561665</v>
      </c>
      <c r="E1690" t="s">
        <v>1817</v>
      </c>
      <c r="F1690" t="s">
        <v>11</v>
      </c>
    </row>
    <row r="1691" spans="1:6" x14ac:dyDescent="0.25">
      <c r="A1691" t="str">
        <f>"02380641"</f>
        <v>02380641</v>
      </c>
      <c r="B1691" t="s">
        <v>1823</v>
      </c>
      <c r="C1691" t="s">
        <v>7</v>
      </c>
      <c r="D1691" t="str">
        <f t="shared" si="64"/>
        <v>561665</v>
      </c>
      <c r="E1691" t="s">
        <v>1817</v>
      </c>
      <c r="F1691" t="s">
        <v>11</v>
      </c>
    </row>
    <row r="1692" spans="1:6" x14ac:dyDescent="0.25">
      <c r="A1692" t="str">
        <f>"06795111"</f>
        <v>06795111</v>
      </c>
      <c r="B1692" t="s">
        <v>1824</v>
      </c>
      <c r="C1692" t="s">
        <v>7</v>
      </c>
      <c r="D1692" t="str">
        <f t="shared" si="64"/>
        <v>561665</v>
      </c>
      <c r="E1692" t="s">
        <v>1817</v>
      </c>
      <c r="F1692" t="s">
        <v>13</v>
      </c>
    </row>
    <row r="1693" spans="1:6" x14ac:dyDescent="0.25">
      <c r="A1693" t="str">
        <f>"46750789"</f>
        <v>46750789</v>
      </c>
      <c r="B1693" t="s">
        <v>1825</v>
      </c>
      <c r="C1693" t="s">
        <v>7</v>
      </c>
      <c r="D1693" t="str">
        <f t="shared" si="64"/>
        <v>561665</v>
      </c>
      <c r="E1693" t="s">
        <v>1817</v>
      </c>
      <c r="F1693" t="s">
        <v>9</v>
      </c>
    </row>
    <row r="1694" spans="1:6" x14ac:dyDescent="0.25">
      <c r="A1694" t="str">
        <f>"17571448"</f>
        <v>17571448</v>
      </c>
      <c r="B1694" t="s">
        <v>1826</v>
      </c>
      <c r="C1694" t="s">
        <v>7</v>
      </c>
      <c r="D1694" t="str">
        <f t="shared" ref="D1694:D1699" si="65">"530484"</f>
        <v>530484</v>
      </c>
      <c r="E1694" t="s">
        <v>1827</v>
      </c>
      <c r="F1694" t="s">
        <v>62</v>
      </c>
    </row>
    <row r="1695" spans="1:6" x14ac:dyDescent="0.25">
      <c r="A1695" t="str">
        <f>"07264011"</f>
        <v>07264011</v>
      </c>
      <c r="B1695" t="s">
        <v>1828</v>
      </c>
      <c r="C1695" t="s">
        <v>7</v>
      </c>
      <c r="D1695" t="str">
        <f t="shared" si="65"/>
        <v>530484</v>
      </c>
      <c r="E1695" t="s">
        <v>1827</v>
      </c>
      <c r="F1695" t="s">
        <v>29</v>
      </c>
    </row>
    <row r="1696" spans="1:6" x14ac:dyDescent="0.25">
      <c r="A1696" t="str">
        <f>"64039200"</f>
        <v>64039200</v>
      </c>
      <c r="B1696" t="s">
        <v>1829</v>
      </c>
      <c r="C1696" t="s">
        <v>15</v>
      </c>
      <c r="D1696" t="str">
        <f t="shared" si="65"/>
        <v>530484</v>
      </c>
      <c r="E1696" t="s">
        <v>1827</v>
      </c>
      <c r="F1696" t="s">
        <v>16</v>
      </c>
    </row>
    <row r="1697" spans="1:6" x14ac:dyDescent="0.25">
      <c r="A1697" t="str">
        <f>"19912684"</f>
        <v>19912684</v>
      </c>
      <c r="B1697" t="s">
        <v>1830</v>
      </c>
      <c r="C1697" t="s">
        <v>7</v>
      </c>
      <c r="D1697" t="str">
        <f t="shared" si="65"/>
        <v>530484</v>
      </c>
      <c r="E1697" t="s">
        <v>1827</v>
      </c>
      <c r="F1697" t="s">
        <v>11</v>
      </c>
    </row>
    <row r="1698" spans="1:6" x14ac:dyDescent="0.25">
      <c r="A1698" t="str">
        <f>"09881620"</f>
        <v>09881620</v>
      </c>
      <c r="B1698" t="s">
        <v>1831</v>
      </c>
      <c r="C1698" t="s">
        <v>7</v>
      </c>
      <c r="D1698" t="str">
        <f t="shared" si="65"/>
        <v>530484</v>
      </c>
      <c r="E1698" t="s">
        <v>1827</v>
      </c>
      <c r="F1698" t="s">
        <v>62</v>
      </c>
    </row>
    <row r="1699" spans="1:6" x14ac:dyDescent="0.25">
      <c r="A1699" t="str">
        <f>"27043622"</f>
        <v>27043622</v>
      </c>
      <c r="B1699" t="s">
        <v>1832</v>
      </c>
      <c r="C1699" t="s">
        <v>7</v>
      </c>
      <c r="D1699" t="str">
        <f t="shared" si="65"/>
        <v>530484</v>
      </c>
      <c r="E1699" t="s">
        <v>1827</v>
      </c>
      <c r="F1699" t="s">
        <v>424</v>
      </c>
    </row>
    <row r="1700" spans="1:6" x14ac:dyDescent="0.25">
      <c r="A1700" t="str">
        <f>"00485527"</f>
        <v>00485527</v>
      </c>
      <c r="B1700" t="s">
        <v>1833</v>
      </c>
      <c r="C1700" t="s">
        <v>15</v>
      </c>
      <c r="D1700" t="str">
        <f t="shared" ref="D1700:D1731" si="66">"577197"</f>
        <v>577197</v>
      </c>
      <c r="E1700" t="s">
        <v>1834</v>
      </c>
      <c r="F1700" t="s">
        <v>29</v>
      </c>
    </row>
    <row r="1701" spans="1:6" x14ac:dyDescent="0.25">
      <c r="A1701" t="str">
        <f>"22823271"</f>
        <v>22823271</v>
      </c>
      <c r="B1701" t="s">
        <v>1835</v>
      </c>
      <c r="C1701" t="s">
        <v>7</v>
      </c>
      <c r="D1701" t="str">
        <f t="shared" si="66"/>
        <v>577197</v>
      </c>
      <c r="E1701" t="s">
        <v>1834</v>
      </c>
      <c r="F1701" t="s">
        <v>29</v>
      </c>
    </row>
    <row r="1702" spans="1:6" x14ac:dyDescent="0.25">
      <c r="A1702" t="str">
        <f>"22708987"</f>
        <v>22708987</v>
      </c>
      <c r="B1702" t="s">
        <v>1836</v>
      </c>
      <c r="C1702" t="s">
        <v>7</v>
      </c>
      <c r="D1702" t="str">
        <f t="shared" si="66"/>
        <v>577197</v>
      </c>
      <c r="E1702" t="s">
        <v>1834</v>
      </c>
      <c r="F1702" t="s">
        <v>18</v>
      </c>
    </row>
    <row r="1703" spans="1:6" x14ac:dyDescent="0.25">
      <c r="A1703" t="str">
        <f>"22909052"</f>
        <v>22909052</v>
      </c>
      <c r="B1703" t="s">
        <v>1837</v>
      </c>
      <c r="C1703" t="s">
        <v>7</v>
      </c>
      <c r="D1703" t="str">
        <f t="shared" si="66"/>
        <v>577197</v>
      </c>
      <c r="E1703" t="s">
        <v>1834</v>
      </c>
      <c r="F1703" t="s">
        <v>139</v>
      </c>
    </row>
    <row r="1704" spans="1:6" x14ac:dyDescent="0.25">
      <c r="A1704" t="str">
        <f>"69173796"</f>
        <v>69173796</v>
      </c>
      <c r="B1704" t="s">
        <v>1838</v>
      </c>
      <c r="C1704" t="s">
        <v>7</v>
      </c>
      <c r="D1704" t="str">
        <f t="shared" si="66"/>
        <v>577197</v>
      </c>
      <c r="E1704" t="s">
        <v>1834</v>
      </c>
      <c r="F1704" t="s">
        <v>35</v>
      </c>
    </row>
    <row r="1705" spans="1:6" x14ac:dyDescent="0.25">
      <c r="A1705" t="str">
        <f>"05013062"</f>
        <v>05013062</v>
      </c>
      <c r="B1705" t="s">
        <v>1839</v>
      </c>
      <c r="C1705" t="s">
        <v>7</v>
      </c>
      <c r="D1705" t="str">
        <f t="shared" si="66"/>
        <v>577197</v>
      </c>
      <c r="E1705" t="s">
        <v>1834</v>
      </c>
      <c r="F1705" t="s">
        <v>29</v>
      </c>
    </row>
    <row r="1706" spans="1:6" x14ac:dyDescent="0.25">
      <c r="A1706" t="str">
        <f>"15045447"</f>
        <v>15045447</v>
      </c>
      <c r="B1706" t="s">
        <v>1840</v>
      </c>
      <c r="C1706" t="s">
        <v>7</v>
      </c>
      <c r="D1706" t="str">
        <f t="shared" si="66"/>
        <v>577197</v>
      </c>
      <c r="E1706" t="s">
        <v>1834</v>
      </c>
      <c r="F1706" t="s">
        <v>65</v>
      </c>
    </row>
    <row r="1707" spans="1:6" x14ac:dyDescent="0.25">
      <c r="A1707" t="str">
        <f>"13586106"</f>
        <v>13586106</v>
      </c>
      <c r="B1707" t="s">
        <v>1841</v>
      </c>
      <c r="C1707" t="s">
        <v>15</v>
      </c>
      <c r="D1707" t="str">
        <f t="shared" si="66"/>
        <v>577197</v>
      </c>
      <c r="E1707" t="s">
        <v>1834</v>
      </c>
      <c r="F1707" t="s">
        <v>11</v>
      </c>
    </row>
    <row r="1708" spans="1:6" x14ac:dyDescent="0.25">
      <c r="A1708" t="str">
        <f>"62013131"</f>
        <v>62013131</v>
      </c>
      <c r="B1708" t="s">
        <v>1842</v>
      </c>
      <c r="C1708" t="s">
        <v>15</v>
      </c>
      <c r="D1708" t="str">
        <f t="shared" si="66"/>
        <v>577197</v>
      </c>
      <c r="E1708" t="s">
        <v>1834</v>
      </c>
      <c r="F1708" t="s">
        <v>29</v>
      </c>
    </row>
    <row r="1709" spans="1:6" x14ac:dyDescent="0.25">
      <c r="A1709" t="str">
        <f>"75049449"</f>
        <v>75049449</v>
      </c>
      <c r="B1709" t="s">
        <v>1843</v>
      </c>
      <c r="C1709" t="s">
        <v>15</v>
      </c>
      <c r="D1709" t="str">
        <f t="shared" si="66"/>
        <v>577197</v>
      </c>
      <c r="E1709" t="s">
        <v>1834</v>
      </c>
      <c r="F1709" t="s">
        <v>29</v>
      </c>
    </row>
    <row r="1710" spans="1:6" x14ac:dyDescent="0.25">
      <c r="A1710" t="str">
        <f>"49295462"</f>
        <v>49295462</v>
      </c>
      <c r="B1710" t="s">
        <v>1844</v>
      </c>
      <c r="C1710" t="s">
        <v>15</v>
      </c>
      <c r="D1710" t="str">
        <f t="shared" si="66"/>
        <v>577197</v>
      </c>
      <c r="E1710" t="s">
        <v>1834</v>
      </c>
      <c r="F1710" t="s">
        <v>29</v>
      </c>
    </row>
    <row r="1711" spans="1:6" x14ac:dyDescent="0.25">
      <c r="A1711" t="str">
        <f>"06533001"</f>
        <v>06533001</v>
      </c>
      <c r="B1711" t="s">
        <v>1845</v>
      </c>
      <c r="C1711" t="s">
        <v>27</v>
      </c>
      <c r="D1711" t="str">
        <f t="shared" si="66"/>
        <v>577197</v>
      </c>
      <c r="E1711" t="s">
        <v>1834</v>
      </c>
      <c r="F1711" t="s">
        <v>139</v>
      </c>
    </row>
    <row r="1712" spans="1:6" x14ac:dyDescent="0.25">
      <c r="A1712" t="str">
        <f>"22826076"</f>
        <v>22826076</v>
      </c>
      <c r="B1712" t="s">
        <v>1846</v>
      </c>
      <c r="C1712" t="s">
        <v>7</v>
      </c>
      <c r="D1712" t="str">
        <f t="shared" si="66"/>
        <v>577197</v>
      </c>
      <c r="E1712" t="s">
        <v>1834</v>
      </c>
      <c r="F1712" t="s">
        <v>328</v>
      </c>
    </row>
    <row r="1713" spans="1:6" x14ac:dyDescent="0.25">
      <c r="A1713" t="str">
        <f>"45598673"</f>
        <v>45598673</v>
      </c>
      <c r="B1713" t="s">
        <v>1847</v>
      </c>
      <c r="C1713" t="s">
        <v>43</v>
      </c>
      <c r="D1713" t="str">
        <f t="shared" si="66"/>
        <v>577197</v>
      </c>
      <c r="E1713" t="s">
        <v>1834</v>
      </c>
      <c r="F1713" t="s">
        <v>44</v>
      </c>
    </row>
    <row r="1714" spans="1:6" x14ac:dyDescent="0.25">
      <c r="A1714" t="str">
        <f>"14246295"</f>
        <v>14246295</v>
      </c>
      <c r="B1714" t="s">
        <v>1848</v>
      </c>
      <c r="C1714" t="s">
        <v>7</v>
      </c>
      <c r="D1714" t="str">
        <f t="shared" si="66"/>
        <v>577197</v>
      </c>
      <c r="E1714" t="s">
        <v>1834</v>
      </c>
      <c r="F1714" t="s">
        <v>62</v>
      </c>
    </row>
    <row r="1715" spans="1:6" x14ac:dyDescent="0.25">
      <c r="A1715" t="str">
        <f>"45599122"</f>
        <v>45599122</v>
      </c>
      <c r="B1715" t="s">
        <v>1849</v>
      </c>
      <c r="C1715" t="s">
        <v>37</v>
      </c>
      <c r="D1715" t="str">
        <f t="shared" si="66"/>
        <v>577197</v>
      </c>
      <c r="E1715" t="s">
        <v>1834</v>
      </c>
      <c r="F1715" t="s">
        <v>38</v>
      </c>
    </row>
    <row r="1716" spans="1:6" x14ac:dyDescent="0.25">
      <c r="A1716" t="str">
        <f>"09409963"</f>
        <v>09409963</v>
      </c>
      <c r="B1716" t="s">
        <v>1850</v>
      </c>
      <c r="C1716" t="s">
        <v>7</v>
      </c>
      <c r="D1716" t="str">
        <f t="shared" si="66"/>
        <v>577197</v>
      </c>
      <c r="E1716" t="s">
        <v>1834</v>
      </c>
      <c r="F1716" t="s">
        <v>11</v>
      </c>
    </row>
    <row r="1717" spans="1:6" x14ac:dyDescent="0.25">
      <c r="A1717" t="str">
        <f>"22680454"</f>
        <v>22680454</v>
      </c>
      <c r="B1717" t="s">
        <v>1851</v>
      </c>
      <c r="C1717" t="s">
        <v>7</v>
      </c>
      <c r="D1717" t="str">
        <f t="shared" si="66"/>
        <v>577197</v>
      </c>
      <c r="E1717" t="s">
        <v>1834</v>
      </c>
      <c r="F1717" t="s">
        <v>11</v>
      </c>
    </row>
    <row r="1718" spans="1:6" x14ac:dyDescent="0.25">
      <c r="A1718" t="str">
        <f>"19144555"</f>
        <v>19144555</v>
      </c>
      <c r="B1718" t="s">
        <v>1852</v>
      </c>
      <c r="C1718" t="s">
        <v>7</v>
      </c>
      <c r="D1718" t="str">
        <f t="shared" si="66"/>
        <v>577197</v>
      </c>
      <c r="E1718" t="s">
        <v>1834</v>
      </c>
      <c r="F1718" t="s">
        <v>11</v>
      </c>
    </row>
    <row r="1719" spans="1:6" x14ac:dyDescent="0.25">
      <c r="A1719" t="str">
        <f>"49294474"</f>
        <v>49294474</v>
      </c>
      <c r="B1719" t="s">
        <v>1853</v>
      </c>
      <c r="C1719" t="s">
        <v>15</v>
      </c>
      <c r="D1719" t="str">
        <f t="shared" si="66"/>
        <v>577197</v>
      </c>
      <c r="E1719" t="s">
        <v>1834</v>
      </c>
      <c r="F1719" t="s">
        <v>139</v>
      </c>
    </row>
    <row r="1720" spans="1:6" x14ac:dyDescent="0.25">
      <c r="A1720" t="str">
        <f>"15045269"</f>
        <v>15045269</v>
      </c>
      <c r="B1720" t="s">
        <v>1854</v>
      </c>
      <c r="C1720" t="s">
        <v>15</v>
      </c>
      <c r="D1720" t="str">
        <f t="shared" si="66"/>
        <v>577197</v>
      </c>
      <c r="E1720" t="s">
        <v>1834</v>
      </c>
      <c r="F1720" t="s">
        <v>139</v>
      </c>
    </row>
    <row r="1721" spans="1:6" x14ac:dyDescent="0.25">
      <c r="A1721" t="str">
        <f>"62012738"</f>
        <v>62012738</v>
      </c>
      <c r="B1721" t="s">
        <v>1855</v>
      </c>
      <c r="C1721" t="s">
        <v>15</v>
      </c>
      <c r="D1721" t="str">
        <f t="shared" si="66"/>
        <v>577197</v>
      </c>
      <c r="E1721" t="s">
        <v>1834</v>
      </c>
      <c r="F1721" t="s">
        <v>11</v>
      </c>
    </row>
    <row r="1722" spans="1:6" x14ac:dyDescent="0.25">
      <c r="A1722" t="str">
        <f>"26678675"</f>
        <v>26678675</v>
      </c>
      <c r="B1722" t="s">
        <v>1856</v>
      </c>
      <c r="C1722" t="s">
        <v>7</v>
      </c>
      <c r="D1722" t="str">
        <f t="shared" si="66"/>
        <v>577197</v>
      </c>
      <c r="E1722" t="s">
        <v>1834</v>
      </c>
      <c r="F1722" t="s">
        <v>9</v>
      </c>
    </row>
    <row r="1723" spans="1:6" x14ac:dyDescent="0.25">
      <c r="A1723" t="str">
        <f>"03622444"</f>
        <v>03622444</v>
      </c>
      <c r="B1723" t="s">
        <v>1857</v>
      </c>
      <c r="C1723" t="s">
        <v>7</v>
      </c>
      <c r="D1723" t="str">
        <f t="shared" si="66"/>
        <v>577197</v>
      </c>
      <c r="E1723" t="s">
        <v>1834</v>
      </c>
      <c r="F1723" t="s">
        <v>13</v>
      </c>
    </row>
    <row r="1724" spans="1:6" x14ac:dyDescent="0.25">
      <c r="A1724" t="str">
        <f>"26604396"</f>
        <v>26604396</v>
      </c>
      <c r="B1724" t="s">
        <v>1858</v>
      </c>
      <c r="C1724" t="s">
        <v>7</v>
      </c>
      <c r="D1724" t="str">
        <f t="shared" si="66"/>
        <v>577197</v>
      </c>
      <c r="E1724" t="s">
        <v>1834</v>
      </c>
      <c r="F1724" t="s">
        <v>11</v>
      </c>
    </row>
    <row r="1725" spans="1:6" x14ac:dyDescent="0.25">
      <c r="A1725" t="str">
        <f>"26661675"</f>
        <v>26661675</v>
      </c>
      <c r="B1725" t="s">
        <v>1859</v>
      </c>
      <c r="C1725" t="s">
        <v>7</v>
      </c>
      <c r="D1725" t="str">
        <f t="shared" si="66"/>
        <v>577197</v>
      </c>
      <c r="E1725" t="s">
        <v>1834</v>
      </c>
      <c r="F1725" t="s">
        <v>424</v>
      </c>
    </row>
    <row r="1726" spans="1:6" x14ac:dyDescent="0.25">
      <c r="A1726" t="str">
        <f>"15044149"</f>
        <v>15044149</v>
      </c>
      <c r="B1726" t="s">
        <v>1860</v>
      </c>
      <c r="C1726" t="s">
        <v>20</v>
      </c>
      <c r="D1726" t="str">
        <f t="shared" si="66"/>
        <v>577197</v>
      </c>
      <c r="E1726" t="s">
        <v>1834</v>
      </c>
      <c r="F1726" t="s">
        <v>21</v>
      </c>
    </row>
    <row r="1727" spans="1:6" x14ac:dyDescent="0.25">
      <c r="A1727" t="str">
        <f>"49294539"</f>
        <v>49294539</v>
      </c>
      <c r="B1727" t="s">
        <v>1861</v>
      </c>
      <c r="C1727" t="s">
        <v>7</v>
      </c>
      <c r="D1727" t="str">
        <f t="shared" si="66"/>
        <v>577197</v>
      </c>
      <c r="E1727" t="s">
        <v>1834</v>
      </c>
      <c r="F1727" t="s">
        <v>35</v>
      </c>
    </row>
    <row r="1728" spans="1:6" x14ac:dyDescent="0.25">
      <c r="A1728" t="str">
        <f>"49294687"</f>
        <v>49294687</v>
      </c>
      <c r="B1728" t="s">
        <v>1862</v>
      </c>
      <c r="C1728" t="s">
        <v>7</v>
      </c>
      <c r="D1728" t="str">
        <f t="shared" si="66"/>
        <v>577197</v>
      </c>
      <c r="E1728" t="s">
        <v>1834</v>
      </c>
      <c r="F1728" t="s">
        <v>38</v>
      </c>
    </row>
    <row r="1729" spans="1:6" x14ac:dyDescent="0.25">
      <c r="A1729" t="str">
        <f>"01836137"</f>
        <v>01836137</v>
      </c>
      <c r="B1729" t="s">
        <v>1863</v>
      </c>
      <c r="C1729" t="s">
        <v>7</v>
      </c>
      <c r="D1729" t="str">
        <f t="shared" si="66"/>
        <v>577197</v>
      </c>
      <c r="E1729" t="s">
        <v>1834</v>
      </c>
      <c r="F1729" t="s">
        <v>29</v>
      </c>
    </row>
    <row r="1730" spans="1:6" x14ac:dyDescent="0.25">
      <c r="A1730" t="str">
        <f>"49294288"</f>
        <v>49294288</v>
      </c>
      <c r="B1730" t="s">
        <v>1864</v>
      </c>
      <c r="C1730" t="s">
        <v>7</v>
      </c>
      <c r="D1730" t="str">
        <f t="shared" si="66"/>
        <v>577197</v>
      </c>
      <c r="E1730" t="s">
        <v>1834</v>
      </c>
      <c r="F1730" t="s">
        <v>65</v>
      </c>
    </row>
    <row r="1731" spans="1:6" x14ac:dyDescent="0.25">
      <c r="A1731" t="str">
        <f>"70157847"</f>
        <v>70157847</v>
      </c>
      <c r="B1731" t="s">
        <v>1865</v>
      </c>
      <c r="C1731" t="s">
        <v>7</v>
      </c>
      <c r="D1731" t="str">
        <f t="shared" si="66"/>
        <v>577197</v>
      </c>
      <c r="E1731" t="s">
        <v>1834</v>
      </c>
      <c r="F1731" t="s">
        <v>11</v>
      </c>
    </row>
    <row r="1732" spans="1:6" x14ac:dyDescent="0.25">
      <c r="A1732" t="str">
        <f>"22768629"</f>
        <v>22768629</v>
      </c>
      <c r="B1732" t="s">
        <v>1866</v>
      </c>
      <c r="C1732" t="s">
        <v>7</v>
      </c>
      <c r="D1732" t="str">
        <f t="shared" ref="D1732:D1756" si="67">"577197"</f>
        <v>577197</v>
      </c>
      <c r="E1732" t="s">
        <v>1834</v>
      </c>
      <c r="F1732" t="s">
        <v>11</v>
      </c>
    </row>
    <row r="1733" spans="1:6" x14ac:dyDescent="0.25">
      <c r="A1733" t="str">
        <f>"06651038"</f>
        <v>06651038</v>
      </c>
      <c r="B1733" t="s">
        <v>1867</v>
      </c>
      <c r="C1733" t="s">
        <v>7</v>
      </c>
      <c r="D1733" t="str">
        <f t="shared" si="67"/>
        <v>577197</v>
      </c>
      <c r="E1733" t="s">
        <v>1834</v>
      </c>
      <c r="F1733" t="s">
        <v>11</v>
      </c>
    </row>
    <row r="1734" spans="1:6" x14ac:dyDescent="0.25">
      <c r="A1734" t="str">
        <f>"15045790"</f>
        <v>15045790</v>
      </c>
      <c r="B1734" t="s">
        <v>1868</v>
      </c>
      <c r="C1734" t="s">
        <v>43</v>
      </c>
      <c r="D1734" t="str">
        <f t="shared" si="67"/>
        <v>577197</v>
      </c>
      <c r="E1734" t="s">
        <v>1834</v>
      </c>
      <c r="F1734" t="s">
        <v>44</v>
      </c>
    </row>
    <row r="1735" spans="1:6" x14ac:dyDescent="0.25">
      <c r="A1735" t="str">
        <f>"62013823"</f>
        <v>62013823</v>
      </c>
      <c r="B1735" t="s">
        <v>1869</v>
      </c>
      <c r="C1735" t="s">
        <v>15</v>
      </c>
      <c r="D1735" t="str">
        <f t="shared" si="67"/>
        <v>577197</v>
      </c>
      <c r="E1735" t="s">
        <v>1834</v>
      </c>
      <c r="F1735" t="s">
        <v>16</v>
      </c>
    </row>
    <row r="1736" spans="1:6" x14ac:dyDescent="0.25">
      <c r="A1736" t="str">
        <f>"49294865"</f>
        <v>49294865</v>
      </c>
      <c r="B1736" t="s">
        <v>1870</v>
      </c>
      <c r="C1736" t="s">
        <v>15</v>
      </c>
      <c r="D1736" t="str">
        <f t="shared" si="67"/>
        <v>577197</v>
      </c>
      <c r="E1736" t="s">
        <v>1834</v>
      </c>
      <c r="F1736" t="s">
        <v>16</v>
      </c>
    </row>
    <row r="1737" spans="1:6" x14ac:dyDescent="0.25">
      <c r="A1737" t="str">
        <f>"26645831"</f>
        <v>26645831</v>
      </c>
      <c r="B1737" t="s">
        <v>1871</v>
      </c>
      <c r="C1737" t="s">
        <v>7</v>
      </c>
      <c r="D1737" t="str">
        <f t="shared" si="67"/>
        <v>577197</v>
      </c>
      <c r="E1737" t="s">
        <v>1834</v>
      </c>
      <c r="F1737" t="s">
        <v>35</v>
      </c>
    </row>
    <row r="1738" spans="1:6" x14ac:dyDescent="0.25">
      <c r="A1738" t="str">
        <f>"15045781"</f>
        <v>15045781</v>
      </c>
      <c r="B1738" t="s">
        <v>1872</v>
      </c>
      <c r="C1738" t="s">
        <v>15</v>
      </c>
      <c r="D1738" t="str">
        <f t="shared" si="67"/>
        <v>577197</v>
      </c>
      <c r="E1738" t="s">
        <v>1834</v>
      </c>
      <c r="F1738" t="s">
        <v>65</v>
      </c>
    </row>
    <row r="1739" spans="1:6" x14ac:dyDescent="0.25">
      <c r="A1739" t="str">
        <f>"47606274"</f>
        <v>47606274</v>
      </c>
      <c r="B1739" t="s">
        <v>1873</v>
      </c>
      <c r="C1739" t="s">
        <v>7</v>
      </c>
      <c r="D1739" t="str">
        <f t="shared" si="67"/>
        <v>577197</v>
      </c>
      <c r="E1739" t="s">
        <v>1834</v>
      </c>
      <c r="F1739" t="s">
        <v>11</v>
      </c>
    </row>
    <row r="1740" spans="1:6" x14ac:dyDescent="0.25">
      <c r="A1740" t="str">
        <f>"05805864"</f>
        <v>05805864</v>
      </c>
      <c r="B1740" t="s">
        <v>1874</v>
      </c>
      <c r="C1740" t="s">
        <v>7</v>
      </c>
      <c r="D1740" t="str">
        <f t="shared" si="67"/>
        <v>577197</v>
      </c>
      <c r="E1740" t="s">
        <v>1834</v>
      </c>
      <c r="F1740" t="s">
        <v>13</v>
      </c>
    </row>
    <row r="1741" spans="1:6" x14ac:dyDescent="0.25">
      <c r="A1741" t="str">
        <f>"21293368"</f>
        <v>21293368</v>
      </c>
      <c r="B1741" t="s">
        <v>1875</v>
      </c>
      <c r="C1741" t="s">
        <v>7</v>
      </c>
      <c r="D1741" t="str">
        <f t="shared" si="67"/>
        <v>577197</v>
      </c>
      <c r="E1741" t="s">
        <v>1834</v>
      </c>
      <c r="F1741" t="s">
        <v>13</v>
      </c>
    </row>
    <row r="1742" spans="1:6" x14ac:dyDescent="0.25">
      <c r="A1742" t="str">
        <f>"08856869"</f>
        <v>08856869</v>
      </c>
      <c r="B1742" t="s">
        <v>1876</v>
      </c>
      <c r="C1742" t="s">
        <v>7</v>
      </c>
      <c r="D1742" t="str">
        <f t="shared" si="67"/>
        <v>577197</v>
      </c>
      <c r="E1742" t="s">
        <v>1834</v>
      </c>
      <c r="F1742" t="s">
        <v>18</v>
      </c>
    </row>
    <row r="1743" spans="1:6" x14ac:dyDescent="0.25">
      <c r="A1743" t="str">
        <f>"49294628"</f>
        <v>49294628</v>
      </c>
      <c r="B1743" t="s">
        <v>1877</v>
      </c>
      <c r="C1743" t="s">
        <v>7</v>
      </c>
      <c r="D1743" t="str">
        <f t="shared" si="67"/>
        <v>577197</v>
      </c>
      <c r="E1743" t="s">
        <v>1834</v>
      </c>
      <c r="F1743" t="s">
        <v>35</v>
      </c>
    </row>
    <row r="1744" spans="1:6" x14ac:dyDescent="0.25">
      <c r="A1744" t="str">
        <f>"72081031"</f>
        <v>72081031</v>
      </c>
      <c r="B1744" t="s">
        <v>1878</v>
      </c>
      <c r="C1744" t="s">
        <v>7</v>
      </c>
      <c r="D1744" t="str">
        <f t="shared" si="67"/>
        <v>577197</v>
      </c>
      <c r="E1744" t="s">
        <v>1834</v>
      </c>
      <c r="F1744" t="s">
        <v>9</v>
      </c>
    </row>
    <row r="1745" spans="1:6" x14ac:dyDescent="0.25">
      <c r="A1745" t="str">
        <f>"68247460"</f>
        <v>68247460</v>
      </c>
      <c r="B1745" t="s">
        <v>1879</v>
      </c>
      <c r="C1745" t="s">
        <v>7</v>
      </c>
      <c r="D1745" t="str">
        <f t="shared" si="67"/>
        <v>577197</v>
      </c>
      <c r="E1745" t="s">
        <v>1834</v>
      </c>
      <c r="F1745" t="s">
        <v>379</v>
      </c>
    </row>
    <row r="1746" spans="1:6" x14ac:dyDescent="0.25">
      <c r="A1746" t="str">
        <f>"71166955"</f>
        <v>71166955</v>
      </c>
      <c r="B1746" t="s">
        <v>1880</v>
      </c>
      <c r="C1746" t="s">
        <v>15</v>
      </c>
      <c r="D1746" t="str">
        <f t="shared" si="67"/>
        <v>577197</v>
      </c>
      <c r="E1746" t="s">
        <v>1834</v>
      </c>
      <c r="F1746" t="s">
        <v>137</v>
      </c>
    </row>
    <row r="1747" spans="1:6" x14ac:dyDescent="0.25">
      <c r="A1747" t="str">
        <f>"27033422"</f>
        <v>27033422</v>
      </c>
      <c r="B1747" t="s">
        <v>1881</v>
      </c>
      <c r="C1747" t="s">
        <v>7</v>
      </c>
      <c r="D1747" t="str">
        <f t="shared" si="67"/>
        <v>577197</v>
      </c>
      <c r="E1747" t="s">
        <v>1834</v>
      </c>
      <c r="F1747" t="s">
        <v>11</v>
      </c>
    </row>
    <row r="1748" spans="1:6" x14ac:dyDescent="0.25">
      <c r="A1748" t="str">
        <f>"49295110"</f>
        <v>49295110</v>
      </c>
      <c r="B1748" t="s">
        <v>1882</v>
      </c>
      <c r="C1748" t="s">
        <v>15</v>
      </c>
      <c r="D1748" t="str">
        <f t="shared" si="67"/>
        <v>577197</v>
      </c>
      <c r="E1748" t="s">
        <v>1834</v>
      </c>
      <c r="F1748" t="s">
        <v>9</v>
      </c>
    </row>
    <row r="1749" spans="1:6" x14ac:dyDescent="0.25">
      <c r="A1749" t="str">
        <f>"45598363"</f>
        <v>45598363</v>
      </c>
      <c r="B1749" t="s">
        <v>1883</v>
      </c>
      <c r="C1749" t="s">
        <v>7</v>
      </c>
      <c r="D1749" t="str">
        <f t="shared" si="67"/>
        <v>577197</v>
      </c>
      <c r="E1749" t="s">
        <v>1834</v>
      </c>
      <c r="F1749" t="s">
        <v>65</v>
      </c>
    </row>
    <row r="1750" spans="1:6" x14ac:dyDescent="0.25">
      <c r="A1750" t="str">
        <f>"27036502"</f>
        <v>27036502</v>
      </c>
      <c r="B1750" t="s">
        <v>1884</v>
      </c>
      <c r="C1750" t="s">
        <v>7</v>
      </c>
      <c r="D1750" t="str">
        <f t="shared" si="67"/>
        <v>577197</v>
      </c>
      <c r="E1750" t="s">
        <v>1834</v>
      </c>
      <c r="F1750" t="s">
        <v>11</v>
      </c>
    </row>
    <row r="1751" spans="1:6" x14ac:dyDescent="0.25">
      <c r="A1751" t="str">
        <f>"69173885"</f>
        <v>69173885</v>
      </c>
      <c r="B1751" t="s">
        <v>1885</v>
      </c>
      <c r="C1751" t="s">
        <v>7</v>
      </c>
      <c r="D1751" t="str">
        <f t="shared" si="67"/>
        <v>577197</v>
      </c>
      <c r="E1751" t="s">
        <v>1834</v>
      </c>
      <c r="F1751" t="s">
        <v>389</v>
      </c>
    </row>
    <row r="1752" spans="1:6" x14ac:dyDescent="0.25">
      <c r="A1752" t="str">
        <f>"72555050"</f>
        <v>72555050</v>
      </c>
      <c r="B1752" t="s">
        <v>1886</v>
      </c>
      <c r="C1752" t="s">
        <v>15</v>
      </c>
      <c r="D1752" t="str">
        <f t="shared" si="67"/>
        <v>577197</v>
      </c>
      <c r="E1752" t="s">
        <v>1834</v>
      </c>
      <c r="F1752" t="s">
        <v>29</v>
      </c>
    </row>
    <row r="1753" spans="1:6" x14ac:dyDescent="0.25">
      <c r="A1753" t="str">
        <f>"03631729"</f>
        <v>03631729</v>
      </c>
      <c r="B1753" t="s">
        <v>1887</v>
      </c>
      <c r="C1753" t="s">
        <v>20</v>
      </c>
      <c r="D1753" t="str">
        <f t="shared" si="67"/>
        <v>577197</v>
      </c>
      <c r="E1753" t="s">
        <v>1834</v>
      </c>
      <c r="F1753" t="s">
        <v>21</v>
      </c>
    </row>
    <row r="1754" spans="1:6" x14ac:dyDescent="0.25">
      <c r="A1754" t="str">
        <f>"07360401"</f>
        <v>07360401</v>
      </c>
      <c r="B1754" t="s">
        <v>1888</v>
      </c>
      <c r="C1754" t="s">
        <v>779</v>
      </c>
      <c r="D1754" t="str">
        <f t="shared" si="67"/>
        <v>577197</v>
      </c>
      <c r="E1754" t="s">
        <v>1834</v>
      </c>
      <c r="F1754" t="s">
        <v>1685</v>
      </c>
    </row>
    <row r="1755" spans="1:6" x14ac:dyDescent="0.25">
      <c r="A1755" t="str">
        <f>"49295705"</f>
        <v>49295705</v>
      </c>
      <c r="B1755" t="s">
        <v>1889</v>
      </c>
      <c r="C1755" t="s">
        <v>20</v>
      </c>
      <c r="D1755" t="str">
        <f t="shared" si="67"/>
        <v>577197</v>
      </c>
      <c r="E1755" t="s">
        <v>1834</v>
      </c>
      <c r="F1755" t="s">
        <v>21</v>
      </c>
    </row>
    <row r="1756" spans="1:6" x14ac:dyDescent="0.25">
      <c r="A1756" t="str">
        <f>"15044670"</f>
        <v>15044670</v>
      </c>
      <c r="B1756" t="s">
        <v>1890</v>
      </c>
      <c r="C1756" t="s">
        <v>20</v>
      </c>
      <c r="D1756" t="str">
        <f t="shared" si="67"/>
        <v>577197</v>
      </c>
      <c r="E1756" t="s">
        <v>1834</v>
      </c>
      <c r="F1756" t="s">
        <v>21</v>
      </c>
    </row>
    <row r="1757" spans="1:6" x14ac:dyDescent="0.25">
      <c r="A1757" t="str">
        <f>"22845950"</f>
        <v>22845950</v>
      </c>
      <c r="B1757" t="s">
        <v>1891</v>
      </c>
      <c r="C1757" t="s">
        <v>7</v>
      </c>
      <c r="D1757" t="str">
        <f t="shared" ref="D1757:D1786" si="68">"564133"</f>
        <v>564133</v>
      </c>
      <c r="E1757" t="s">
        <v>1892</v>
      </c>
      <c r="F1757" t="s">
        <v>11</v>
      </c>
    </row>
    <row r="1758" spans="1:6" x14ac:dyDescent="0.25">
      <c r="A1758" t="str">
        <f>"09948015"</f>
        <v>09948015</v>
      </c>
      <c r="B1758" t="s">
        <v>1893</v>
      </c>
      <c r="C1758" t="s">
        <v>27</v>
      </c>
      <c r="D1758" t="str">
        <f t="shared" si="68"/>
        <v>564133</v>
      </c>
      <c r="E1758" t="s">
        <v>1892</v>
      </c>
      <c r="F1758" t="s">
        <v>1646</v>
      </c>
    </row>
    <row r="1759" spans="1:6" x14ac:dyDescent="0.25">
      <c r="A1759" t="str">
        <f>"26580357"</f>
        <v>26580357</v>
      </c>
      <c r="B1759" t="s">
        <v>1894</v>
      </c>
      <c r="C1759" t="s">
        <v>7</v>
      </c>
      <c r="D1759" t="str">
        <f t="shared" si="68"/>
        <v>564133</v>
      </c>
      <c r="E1759" t="s">
        <v>1892</v>
      </c>
      <c r="F1759" t="s">
        <v>18</v>
      </c>
    </row>
    <row r="1760" spans="1:6" x14ac:dyDescent="0.25">
      <c r="A1760" t="str">
        <f>"04328370"</f>
        <v>04328370</v>
      </c>
      <c r="B1760" t="s">
        <v>1895</v>
      </c>
      <c r="C1760" t="s">
        <v>7</v>
      </c>
      <c r="D1760" t="str">
        <f t="shared" si="68"/>
        <v>564133</v>
      </c>
      <c r="E1760" t="s">
        <v>1892</v>
      </c>
      <c r="F1760" t="s">
        <v>18</v>
      </c>
    </row>
    <row r="1761" spans="1:6" x14ac:dyDescent="0.25">
      <c r="A1761" t="str">
        <f>"46747435"</f>
        <v>46747435</v>
      </c>
      <c r="B1761" t="s">
        <v>1896</v>
      </c>
      <c r="C1761" t="s">
        <v>7</v>
      </c>
      <c r="D1761" t="str">
        <f t="shared" si="68"/>
        <v>564133</v>
      </c>
      <c r="E1761" t="s">
        <v>1892</v>
      </c>
      <c r="F1761" t="s">
        <v>9</v>
      </c>
    </row>
    <row r="1762" spans="1:6" x14ac:dyDescent="0.25">
      <c r="A1762" t="str">
        <f>"71177922"</f>
        <v>71177922</v>
      </c>
      <c r="B1762" t="s">
        <v>1897</v>
      </c>
      <c r="C1762" t="s">
        <v>37</v>
      </c>
      <c r="D1762" t="str">
        <f t="shared" si="68"/>
        <v>564133</v>
      </c>
      <c r="E1762" t="s">
        <v>1892</v>
      </c>
      <c r="F1762" t="s">
        <v>38</v>
      </c>
    </row>
    <row r="1763" spans="1:6" x14ac:dyDescent="0.25">
      <c r="A1763" t="str">
        <f>"22707379"</f>
        <v>22707379</v>
      </c>
      <c r="B1763" t="s">
        <v>1898</v>
      </c>
      <c r="C1763" t="s">
        <v>7</v>
      </c>
      <c r="D1763" t="str">
        <f t="shared" si="68"/>
        <v>564133</v>
      </c>
      <c r="E1763" t="s">
        <v>1892</v>
      </c>
      <c r="F1763" t="s">
        <v>18</v>
      </c>
    </row>
    <row r="1764" spans="1:6" x14ac:dyDescent="0.25">
      <c r="A1764" t="str">
        <f>"22736905"</f>
        <v>22736905</v>
      </c>
      <c r="B1764" t="s">
        <v>1899</v>
      </c>
      <c r="C1764" t="s">
        <v>7</v>
      </c>
      <c r="D1764" t="str">
        <f t="shared" si="68"/>
        <v>564133</v>
      </c>
      <c r="E1764" t="s">
        <v>1892</v>
      </c>
      <c r="F1764" t="s">
        <v>11</v>
      </c>
    </row>
    <row r="1765" spans="1:6" x14ac:dyDescent="0.25">
      <c r="A1765" t="str">
        <f>"22860347"</f>
        <v>22860347</v>
      </c>
      <c r="B1765" t="s">
        <v>1900</v>
      </c>
      <c r="C1765" t="s">
        <v>7</v>
      </c>
      <c r="D1765" t="str">
        <f t="shared" si="68"/>
        <v>564133</v>
      </c>
      <c r="E1765" t="s">
        <v>1892</v>
      </c>
      <c r="F1765" t="s">
        <v>18</v>
      </c>
    </row>
    <row r="1766" spans="1:6" x14ac:dyDescent="0.25">
      <c r="A1766" t="str">
        <f>"04132122"</f>
        <v>04132122</v>
      </c>
      <c r="B1766" t="s">
        <v>1901</v>
      </c>
      <c r="C1766" t="s">
        <v>7</v>
      </c>
      <c r="D1766" t="str">
        <f t="shared" si="68"/>
        <v>564133</v>
      </c>
      <c r="E1766" t="s">
        <v>1892</v>
      </c>
      <c r="F1766" t="s">
        <v>11</v>
      </c>
    </row>
    <row r="1767" spans="1:6" x14ac:dyDescent="0.25">
      <c r="A1767" t="str">
        <f>"64040534"</f>
        <v>64040534</v>
      </c>
      <c r="B1767" t="s">
        <v>1902</v>
      </c>
      <c r="C1767" t="s">
        <v>7</v>
      </c>
      <c r="D1767" t="str">
        <f t="shared" si="68"/>
        <v>564133</v>
      </c>
      <c r="E1767" t="s">
        <v>1892</v>
      </c>
      <c r="F1767" t="s">
        <v>424</v>
      </c>
    </row>
    <row r="1768" spans="1:6" x14ac:dyDescent="0.25">
      <c r="A1768" t="str">
        <f>"22855840"</f>
        <v>22855840</v>
      </c>
      <c r="B1768" t="s">
        <v>1903</v>
      </c>
      <c r="C1768" t="s">
        <v>7</v>
      </c>
      <c r="D1768" t="str">
        <f t="shared" si="68"/>
        <v>564133</v>
      </c>
      <c r="E1768" t="s">
        <v>1892</v>
      </c>
      <c r="F1768" t="s">
        <v>11</v>
      </c>
    </row>
    <row r="1769" spans="1:6" x14ac:dyDescent="0.25">
      <c r="A1769" t="str">
        <f>"26566923"</f>
        <v>26566923</v>
      </c>
      <c r="B1769" t="s">
        <v>1904</v>
      </c>
      <c r="C1769" t="s">
        <v>7</v>
      </c>
      <c r="D1769" t="str">
        <f t="shared" si="68"/>
        <v>564133</v>
      </c>
      <c r="E1769" t="s">
        <v>1892</v>
      </c>
      <c r="F1769" t="s">
        <v>29</v>
      </c>
    </row>
    <row r="1770" spans="1:6" x14ac:dyDescent="0.25">
      <c r="A1770" t="str">
        <f>"09533745"</f>
        <v>09533745</v>
      </c>
      <c r="B1770" t="s">
        <v>1905</v>
      </c>
      <c r="C1770" t="s">
        <v>7</v>
      </c>
      <c r="D1770" t="str">
        <f t="shared" si="68"/>
        <v>564133</v>
      </c>
      <c r="E1770" t="s">
        <v>1892</v>
      </c>
      <c r="F1770" t="s">
        <v>38</v>
      </c>
    </row>
    <row r="1771" spans="1:6" x14ac:dyDescent="0.25">
      <c r="A1771" t="str">
        <f>"09880631"</f>
        <v>09880631</v>
      </c>
      <c r="B1771" t="s">
        <v>1906</v>
      </c>
      <c r="C1771" t="s">
        <v>7</v>
      </c>
      <c r="D1771" t="str">
        <f t="shared" si="68"/>
        <v>564133</v>
      </c>
      <c r="E1771" t="s">
        <v>1892</v>
      </c>
      <c r="F1771" t="s">
        <v>38</v>
      </c>
    </row>
    <row r="1772" spans="1:6" x14ac:dyDescent="0.25">
      <c r="A1772" t="str">
        <f>"46749098"</f>
        <v>46749098</v>
      </c>
      <c r="B1772" t="s">
        <v>1907</v>
      </c>
      <c r="C1772" t="s">
        <v>7</v>
      </c>
      <c r="D1772" t="str">
        <f t="shared" si="68"/>
        <v>564133</v>
      </c>
      <c r="E1772" t="s">
        <v>1892</v>
      </c>
      <c r="F1772" t="s">
        <v>38</v>
      </c>
    </row>
    <row r="1773" spans="1:6" x14ac:dyDescent="0.25">
      <c r="A1773" t="str">
        <f>"06957722"</f>
        <v>06957722</v>
      </c>
      <c r="B1773" t="s">
        <v>1908</v>
      </c>
      <c r="C1773" t="s">
        <v>325</v>
      </c>
      <c r="D1773" t="str">
        <f t="shared" si="68"/>
        <v>564133</v>
      </c>
      <c r="E1773" t="s">
        <v>1892</v>
      </c>
      <c r="F1773" t="s">
        <v>18</v>
      </c>
    </row>
    <row r="1774" spans="1:6" x14ac:dyDescent="0.25">
      <c r="A1774" t="str">
        <f>"44224630"</f>
        <v>44224630</v>
      </c>
      <c r="B1774" t="s">
        <v>1909</v>
      </c>
      <c r="C1774" t="s">
        <v>7</v>
      </c>
      <c r="D1774" t="str">
        <f t="shared" si="68"/>
        <v>564133</v>
      </c>
      <c r="E1774" t="s">
        <v>1892</v>
      </c>
      <c r="F1774" t="s">
        <v>11</v>
      </c>
    </row>
    <row r="1775" spans="1:6" x14ac:dyDescent="0.25">
      <c r="A1775" t="str">
        <f>"22756922"</f>
        <v>22756922</v>
      </c>
      <c r="B1775" t="s">
        <v>1910</v>
      </c>
      <c r="C1775" t="s">
        <v>7</v>
      </c>
      <c r="D1775" t="str">
        <f t="shared" si="68"/>
        <v>564133</v>
      </c>
      <c r="E1775" t="s">
        <v>1892</v>
      </c>
      <c r="F1775" t="s">
        <v>18</v>
      </c>
    </row>
    <row r="1776" spans="1:6" x14ac:dyDescent="0.25">
      <c r="A1776" t="str">
        <f>"22830995"</f>
        <v>22830995</v>
      </c>
      <c r="B1776" t="s">
        <v>1911</v>
      </c>
      <c r="C1776" t="s">
        <v>7</v>
      </c>
      <c r="D1776" t="str">
        <f t="shared" si="68"/>
        <v>564133</v>
      </c>
      <c r="E1776" t="s">
        <v>1892</v>
      </c>
      <c r="F1776" t="s">
        <v>11</v>
      </c>
    </row>
    <row r="1777" spans="1:6" x14ac:dyDescent="0.25">
      <c r="A1777" t="str">
        <f>"02161494"</f>
        <v>02161494</v>
      </c>
      <c r="B1777" t="s">
        <v>1912</v>
      </c>
      <c r="C1777" t="s">
        <v>7</v>
      </c>
      <c r="D1777" t="str">
        <f t="shared" si="68"/>
        <v>564133</v>
      </c>
      <c r="E1777" t="s">
        <v>1892</v>
      </c>
      <c r="F1777" t="s">
        <v>11</v>
      </c>
    </row>
    <row r="1778" spans="1:6" x14ac:dyDescent="0.25">
      <c r="A1778" t="str">
        <f>"10847952"</f>
        <v>10847952</v>
      </c>
      <c r="B1778" t="s">
        <v>1913</v>
      </c>
      <c r="C1778" t="s">
        <v>7</v>
      </c>
      <c r="D1778" t="str">
        <f t="shared" si="68"/>
        <v>564133</v>
      </c>
      <c r="E1778" t="s">
        <v>1892</v>
      </c>
      <c r="F1778" t="s">
        <v>18</v>
      </c>
    </row>
    <row r="1779" spans="1:6" x14ac:dyDescent="0.25">
      <c r="A1779" t="str">
        <f>"02761793"</f>
        <v>02761793</v>
      </c>
      <c r="B1779" t="s">
        <v>1914</v>
      </c>
      <c r="C1779" t="s">
        <v>7</v>
      </c>
      <c r="D1779" t="str">
        <f t="shared" si="68"/>
        <v>564133</v>
      </c>
      <c r="E1779" t="s">
        <v>1892</v>
      </c>
      <c r="F1779" t="s">
        <v>11</v>
      </c>
    </row>
    <row r="1780" spans="1:6" x14ac:dyDescent="0.25">
      <c r="A1780" t="str">
        <f>"22818499"</f>
        <v>22818499</v>
      </c>
      <c r="B1780" t="s">
        <v>1915</v>
      </c>
      <c r="C1780" t="s">
        <v>7</v>
      </c>
      <c r="D1780" t="str">
        <f t="shared" si="68"/>
        <v>564133</v>
      </c>
      <c r="E1780" t="s">
        <v>1892</v>
      </c>
      <c r="F1780" t="s">
        <v>11</v>
      </c>
    </row>
    <row r="1781" spans="1:6" x14ac:dyDescent="0.25">
      <c r="A1781" t="str">
        <f>"22864270"</f>
        <v>22864270</v>
      </c>
      <c r="B1781" t="s">
        <v>1916</v>
      </c>
      <c r="C1781" t="s">
        <v>7</v>
      </c>
      <c r="D1781" t="str">
        <f t="shared" si="68"/>
        <v>564133</v>
      </c>
      <c r="E1781" t="s">
        <v>1892</v>
      </c>
      <c r="F1781" t="s">
        <v>11</v>
      </c>
    </row>
    <row r="1782" spans="1:6" x14ac:dyDescent="0.25">
      <c r="A1782" t="str">
        <f>"70819459"</f>
        <v>70819459</v>
      </c>
      <c r="B1782" t="s">
        <v>1917</v>
      </c>
      <c r="C1782" t="s">
        <v>7</v>
      </c>
      <c r="D1782" t="str">
        <f t="shared" si="68"/>
        <v>564133</v>
      </c>
      <c r="E1782" t="s">
        <v>1892</v>
      </c>
      <c r="F1782" t="s">
        <v>11</v>
      </c>
    </row>
    <row r="1783" spans="1:6" x14ac:dyDescent="0.25">
      <c r="A1783" t="str">
        <f>"66112508"</f>
        <v>66112508</v>
      </c>
      <c r="B1783" t="s">
        <v>1918</v>
      </c>
      <c r="C1783" t="s">
        <v>15</v>
      </c>
      <c r="D1783" t="str">
        <f t="shared" si="68"/>
        <v>564133</v>
      </c>
      <c r="E1783" t="s">
        <v>1892</v>
      </c>
      <c r="F1783" t="s">
        <v>16</v>
      </c>
    </row>
    <row r="1784" spans="1:6" x14ac:dyDescent="0.25">
      <c r="A1784" t="str">
        <f>"08177244"</f>
        <v>08177244</v>
      </c>
      <c r="B1784" t="s">
        <v>1919</v>
      </c>
      <c r="C1784" t="s">
        <v>7</v>
      </c>
      <c r="D1784" t="str">
        <f t="shared" si="68"/>
        <v>564133</v>
      </c>
      <c r="E1784" t="s">
        <v>1892</v>
      </c>
      <c r="F1784" t="s">
        <v>11</v>
      </c>
    </row>
    <row r="1785" spans="1:6" x14ac:dyDescent="0.25">
      <c r="A1785" t="str">
        <f>"28552407"</f>
        <v>28552407</v>
      </c>
      <c r="B1785" t="s">
        <v>1920</v>
      </c>
      <c r="C1785" t="s">
        <v>7</v>
      </c>
      <c r="D1785" t="str">
        <f t="shared" si="68"/>
        <v>564133</v>
      </c>
      <c r="E1785" t="s">
        <v>1892</v>
      </c>
      <c r="F1785" t="s">
        <v>18</v>
      </c>
    </row>
    <row r="1786" spans="1:6" x14ac:dyDescent="0.25">
      <c r="A1786" t="str">
        <f>"26611597"</f>
        <v>26611597</v>
      </c>
      <c r="B1786" t="s">
        <v>1921</v>
      </c>
      <c r="C1786" t="s">
        <v>7</v>
      </c>
      <c r="D1786" t="str">
        <f t="shared" si="68"/>
        <v>564133</v>
      </c>
      <c r="E1786" t="s">
        <v>1892</v>
      </c>
      <c r="F1786" t="s">
        <v>11</v>
      </c>
    </row>
    <row r="1787" spans="1:6" x14ac:dyDescent="0.25">
      <c r="A1787" t="str">
        <f>"14239914"</f>
        <v>14239914</v>
      </c>
      <c r="B1787" t="s">
        <v>1922</v>
      </c>
      <c r="C1787" t="s">
        <v>7</v>
      </c>
      <c r="D1787" t="str">
        <f t="shared" ref="D1787:D1796" si="69">"546585"</f>
        <v>546585</v>
      </c>
      <c r="E1787" t="s">
        <v>1923</v>
      </c>
      <c r="F1787" t="s">
        <v>11</v>
      </c>
    </row>
    <row r="1788" spans="1:6" x14ac:dyDescent="0.25">
      <c r="A1788" t="str">
        <f>"26608154"</f>
        <v>26608154</v>
      </c>
      <c r="B1788" t="s">
        <v>1924</v>
      </c>
      <c r="C1788" t="s">
        <v>7</v>
      </c>
      <c r="D1788" t="str">
        <f t="shared" si="69"/>
        <v>546585</v>
      </c>
      <c r="E1788" t="s">
        <v>1923</v>
      </c>
      <c r="F1788" t="s">
        <v>9</v>
      </c>
    </row>
    <row r="1789" spans="1:6" x14ac:dyDescent="0.25">
      <c r="A1789" t="str">
        <f>"07132565"</f>
        <v>07132565</v>
      </c>
      <c r="B1789" t="s">
        <v>1925</v>
      </c>
      <c r="C1789" t="s">
        <v>7</v>
      </c>
      <c r="D1789" t="str">
        <f t="shared" si="69"/>
        <v>546585</v>
      </c>
      <c r="E1789" t="s">
        <v>1923</v>
      </c>
      <c r="F1789" t="s">
        <v>11</v>
      </c>
    </row>
    <row r="1790" spans="1:6" x14ac:dyDescent="0.25">
      <c r="A1790" t="str">
        <f>"26988607"</f>
        <v>26988607</v>
      </c>
      <c r="B1790" t="s">
        <v>1926</v>
      </c>
      <c r="C1790" t="s">
        <v>7</v>
      </c>
      <c r="D1790" t="str">
        <f t="shared" si="69"/>
        <v>546585</v>
      </c>
      <c r="E1790" t="s">
        <v>1923</v>
      </c>
      <c r="F1790" t="s">
        <v>13</v>
      </c>
    </row>
    <row r="1791" spans="1:6" x14ac:dyDescent="0.25">
      <c r="A1791" t="str">
        <f>"01590189"</f>
        <v>01590189</v>
      </c>
      <c r="B1791" t="s">
        <v>1927</v>
      </c>
      <c r="C1791" t="s">
        <v>7</v>
      </c>
      <c r="D1791" t="str">
        <f t="shared" si="69"/>
        <v>546585</v>
      </c>
      <c r="E1791" t="s">
        <v>1923</v>
      </c>
      <c r="F1791" t="s">
        <v>62</v>
      </c>
    </row>
    <row r="1792" spans="1:6" x14ac:dyDescent="0.25">
      <c r="A1792" t="str">
        <f>"64669807"</f>
        <v>64669807</v>
      </c>
      <c r="B1792" t="s">
        <v>1928</v>
      </c>
      <c r="C1792" t="s">
        <v>7</v>
      </c>
      <c r="D1792" t="str">
        <f t="shared" si="69"/>
        <v>546585</v>
      </c>
      <c r="E1792" t="s">
        <v>1923</v>
      </c>
      <c r="F1792" t="s">
        <v>11</v>
      </c>
    </row>
    <row r="1793" spans="1:6" x14ac:dyDescent="0.25">
      <c r="A1793" t="str">
        <f>"05540828"</f>
        <v>05540828</v>
      </c>
      <c r="B1793" t="s">
        <v>1929</v>
      </c>
      <c r="C1793" t="s">
        <v>7</v>
      </c>
      <c r="D1793" t="str">
        <f t="shared" si="69"/>
        <v>546585</v>
      </c>
      <c r="E1793" t="s">
        <v>1923</v>
      </c>
      <c r="F1793" t="s">
        <v>11</v>
      </c>
    </row>
    <row r="1794" spans="1:6" x14ac:dyDescent="0.25">
      <c r="A1794" t="str">
        <f>"01564609"</f>
        <v>01564609</v>
      </c>
      <c r="B1794" t="s">
        <v>1930</v>
      </c>
      <c r="C1794" t="s">
        <v>7</v>
      </c>
      <c r="D1794" t="str">
        <f t="shared" si="69"/>
        <v>546585</v>
      </c>
      <c r="E1794" t="s">
        <v>1923</v>
      </c>
      <c r="F1794" t="s">
        <v>62</v>
      </c>
    </row>
    <row r="1795" spans="1:6" x14ac:dyDescent="0.25">
      <c r="A1795" t="str">
        <f>"60252545"</f>
        <v>60252545</v>
      </c>
      <c r="B1795" t="s">
        <v>1931</v>
      </c>
      <c r="C1795" t="s">
        <v>7</v>
      </c>
      <c r="D1795" t="str">
        <f t="shared" si="69"/>
        <v>546585</v>
      </c>
      <c r="E1795" t="s">
        <v>1923</v>
      </c>
      <c r="F1795" t="s">
        <v>9</v>
      </c>
    </row>
    <row r="1796" spans="1:6" x14ac:dyDescent="0.25">
      <c r="A1796" t="str">
        <f>"00525065"</f>
        <v>00525065</v>
      </c>
      <c r="B1796" t="s">
        <v>1932</v>
      </c>
      <c r="C1796" t="s">
        <v>7</v>
      </c>
      <c r="D1796" t="str">
        <f t="shared" si="69"/>
        <v>546585</v>
      </c>
      <c r="E1796" t="s">
        <v>1923</v>
      </c>
      <c r="F1796" t="s">
        <v>9</v>
      </c>
    </row>
    <row r="1797" spans="1:6" x14ac:dyDescent="0.25">
      <c r="A1797" t="str">
        <f>"60254173"</f>
        <v>60254173</v>
      </c>
      <c r="B1797" t="s">
        <v>1933</v>
      </c>
      <c r="C1797" t="s">
        <v>7</v>
      </c>
      <c r="D1797" t="str">
        <f t="shared" ref="D1797:D1808" si="70">"563633"</f>
        <v>563633</v>
      </c>
      <c r="E1797" t="s">
        <v>1934</v>
      </c>
      <c r="F1797" t="s">
        <v>328</v>
      </c>
    </row>
    <row r="1798" spans="1:6" x14ac:dyDescent="0.25">
      <c r="A1798" t="str">
        <f>"06962653"</f>
        <v>06962653</v>
      </c>
      <c r="B1798" t="s">
        <v>1935</v>
      </c>
      <c r="C1798" t="s">
        <v>27</v>
      </c>
      <c r="D1798" t="str">
        <f t="shared" si="70"/>
        <v>563633</v>
      </c>
      <c r="E1798" t="s">
        <v>1934</v>
      </c>
      <c r="F1798" t="s">
        <v>11</v>
      </c>
    </row>
    <row r="1799" spans="1:6" x14ac:dyDescent="0.25">
      <c r="A1799" t="str">
        <f>"26545365"</f>
        <v>26545365</v>
      </c>
      <c r="B1799" t="s">
        <v>1936</v>
      </c>
      <c r="C1799" t="s">
        <v>7</v>
      </c>
      <c r="D1799" t="str">
        <f t="shared" si="70"/>
        <v>563633</v>
      </c>
      <c r="E1799" t="s">
        <v>1934</v>
      </c>
      <c r="F1799" t="s">
        <v>38</v>
      </c>
    </row>
    <row r="1800" spans="1:6" x14ac:dyDescent="0.25">
      <c r="A1800" t="str">
        <f>"69898367"</f>
        <v>69898367</v>
      </c>
      <c r="B1800" t="s">
        <v>1937</v>
      </c>
      <c r="C1800" t="s">
        <v>7</v>
      </c>
      <c r="D1800" t="str">
        <f t="shared" si="70"/>
        <v>563633</v>
      </c>
      <c r="E1800" t="s">
        <v>1934</v>
      </c>
      <c r="F1800" t="s">
        <v>11</v>
      </c>
    </row>
    <row r="1801" spans="1:6" x14ac:dyDescent="0.25">
      <c r="A1801" t="str">
        <f>"03660354"</f>
        <v>03660354</v>
      </c>
      <c r="B1801" t="s">
        <v>1938</v>
      </c>
      <c r="C1801" t="s">
        <v>7</v>
      </c>
      <c r="D1801" t="str">
        <f t="shared" si="70"/>
        <v>563633</v>
      </c>
      <c r="E1801" t="s">
        <v>1934</v>
      </c>
      <c r="F1801" t="s">
        <v>11</v>
      </c>
    </row>
    <row r="1802" spans="1:6" x14ac:dyDescent="0.25">
      <c r="A1802" t="str">
        <f>"64668649"</f>
        <v>64668649</v>
      </c>
      <c r="B1802" t="s">
        <v>1939</v>
      </c>
      <c r="C1802" t="s">
        <v>15</v>
      </c>
      <c r="D1802" t="str">
        <f t="shared" si="70"/>
        <v>563633</v>
      </c>
      <c r="E1802" t="s">
        <v>1934</v>
      </c>
      <c r="F1802" t="s">
        <v>11</v>
      </c>
    </row>
    <row r="1803" spans="1:6" x14ac:dyDescent="0.25">
      <c r="A1803" t="str">
        <f>"64668037"</f>
        <v>64668037</v>
      </c>
      <c r="B1803" t="s">
        <v>1940</v>
      </c>
      <c r="C1803" t="s">
        <v>15</v>
      </c>
      <c r="D1803" t="str">
        <f t="shared" si="70"/>
        <v>563633</v>
      </c>
      <c r="E1803" t="s">
        <v>1934</v>
      </c>
      <c r="F1803" t="s">
        <v>16</v>
      </c>
    </row>
    <row r="1804" spans="1:6" x14ac:dyDescent="0.25">
      <c r="A1804" t="str">
        <f>"05538726"</f>
        <v>05538726</v>
      </c>
      <c r="B1804" t="s">
        <v>1941</v>
      </c>
      <c r="C1804" t="s">
        <v>7</v>
      </c>
      <c r="D1804" t="str">
        <f t="shared" si="70"/>
        <v>563633</v>
      </c>
      <c r="E1804" t="s">
        <v>1934</v>
      </c>
      <c r="F1804" t="s">
        <v>11</v>
      </c>
    </row>
    <row r="1805" spans="1:6" x14ac:dyDescent="0.25">
      <c r="A1805" t="str">
        <f>"05688531"</f>
        <v>05688531</v>
      </c>
      <c r="B1805" t="s">
        <v>1942</v>
      </c>
      <c r="C1805" t="s">
        <v>7</v>
      </c>
      <c r="D1805" t="str">
        <f t="shared" si="70"/>
        <v>563633</v>
      </c>
      <c r="E1805" t="s">
        <v>1934</v>
      </c>
      <c r="F1805" t="s">
        <v>11</v>
      </c>
    </row>
    <row r="1806" spans="1:6" x14ac:dyDescent="0.25">
      <c r="A1806" t="str">
        <f>"06082572"</f>
        <v>06082572</v>
      </c>
      <c r="B1806" t="s">
        <v>1943</v>
      </c>
      <c r="C1806" t="s">
        <v>7</v>
      </c>
      <c r="D1806" t="str">
        <f t="shared" si="70"/>
        <v>563633</v>
      </c>
      <c r="E1806" t="s">
        <v>1934</v>
      </c>
      <c r="F1806" t="s">
        <v>137</v>
      </c>
    </row>
    <row r="1807" spans="1:6" x14ac:dyDescent="0.25">
      <c r="A1807" t="str">
        <f>"16389751"</f>
        <v>16389751</v>
      </c>
      <c r="B1807" t="s">
        <v>1944</v>
      </c>
      <c r="C1807" t="s">
        <v>7</v>
      </c>
      <c r="D1807" t="str">
        <f t="shared" si="70"/>
        <v>563633</v>
      </c>
      <c r="E1807" t="s">
        <v>1934</v>
      </c>
      <c r="F1807" t="s">
        <v>9</v>
      </c>
    </row>
    <row r="1808" spans="1:6" x14ac:dyDescent="0.25">
      <c r="A1808" t="str">
        <f>"22745998"</f>
        <v>22745998</v>
      </c>
      <c r="B1808" t="s">
        <v>1945</v>
      </c>
      <c r="C1808" t="s">
        <v>7</v>
      </c>
      <c r="D1808" t="str">
        <f t="shared" si="70"/>
        <v>563633</v>
      </c>
      <c r="E1808" t="s">
        <v>1934</v>
      </c>
      <c r="F1808" t="s">
        <v>13</v>
      </c>
    </row>
    <row r="1809" spans="1:6" x14ac:dyDescent="0.25">
      <c r="A1809" t="str">
        <f>"11980877"</f>
        <v>11980877</v>
      </c>
      <c r="B1809" t="s">
        <v>1946</v>
      </c>
      <c r="C1809" t="s">
        <v>7</v>
      </c>
      <c r="D1809" t="str">
        <f>"563617"</f>
        <v>563617</v>
      </c>
      <c r="E1809" t="s">
        <v>1947</v>
      </c>
      <c r="F1809" t="s">
        <v>18</v>
      </c>
    </row>
    <row r="1810" spans="1:6" x14ac:dyDescent="0.25">
      <c r="A1810" t="str">
        <f>"64668029"</f>
        <v>64668029</v>
      </c>
      <c r="B1810" t="s">
        <v>1948</v>
      </c>
      <c r="C1810" t="s">
        <v>15</v>
      </c>
      <c r="D1810" t="str">
        <f>"563617"</f>
        <v>563617</v>
      </c>
      <c r="E1810" t="s">
        <v>1947</v>
      </c>
      <c r="F1810" t="s">
        <v>16</v>
      </c>
    </row>
    <row r="1811" spans="1:6" x14ac:dyDescent="0.25">
      <c r="A1811" t="str">
        <f>"16389123"</f>
        <v>16389123</v>
      </c>
      <c r="B1811" t="s">
        <v>1949</v>
      </c>
      <c r="C1811" t="s">
        <v>7</v>
      </c>
      <c r="D1811" t="str">
        <f>"563617"</f>
        <v>563617</v>
      </c>
      <c r="E1811" t="s">
        <v>1947</v>
      </c>
      <c r="F1811" t="s">
        <v>9</v>
      </c>
    </row>
    <row r="1812" spans="1:6" x14ac:dyDescent="0.25">
      <c r="A1812" t="str">
        <f>"22829636"</f>
        <v>22829636</v>
      </c>
      <c r="B1812" t="s">
        <v>1950</v>
      </c>
      <c r="C1812" t="s">
        <v>7</v>
      </c>
      <c r="D1812" t="str">
        <f>"577201"</f>
        <v>577201</v>
      </c>
      <c r="E1812" t="s">
        <v>1951</v>
      </c>
      <c r="F1812" t="s">
        <v>11</v>
      </c>
    </row>
    <row r="1813" spans="1:6" x14ac:dyDescent="0.25">
      <c r="A1813" t="str">
        <f>"62013432"</f>
        <v>62013432</v>
      </c>
      <c r="B1813" t="s">
        <v>1952</v>
      </c>
      <c r="C1813" t="s">
        <v>15</v>
      </c>
      <c r="D1813" t="str">
        <f>"577201"</f>
        <v>577201</v>
      </c>
      <c r="E1813" t="s">
        <v>1951</v>
      </c>
      <c r="F1813" t="s">
        <v>16</v>
      </c>
    </row>
    <row r="1814" spans="1:6" x14ac:dyDescent="0.25">
      <c r="A1814" t="str">
        <f>"45598410"</f>
        <v>45598410</v>
      </c>
      <c r="B1814" t="s">
        <v>1953</v>
      </c>
      <c r="C1814" t="s">
        <v>7</v>
      </c>
      <c r="D1814" t="str">
        <f>"577201"</f>
        <v>577201</v>
      </c>
      <c r="E1814" t="s">
        <v>1951</v>
      </c>
      <c r="F1814" t="s">
        <v>65</v>
      </c>
    </row>
    <row r="1815" spans="1:6" x14ac:dyDescent="0.25">
      <c r="A1815" t="str">
        <f>"71191551"</f>
        <v>71191551</v>
      </c>
      <c r="B1815" t="s">
        <v>1954</v>
      </c>
      <c r="C1815" t="s">
        <v>15</v>
      </c>
      <c r="D1815" t="str">
        <f t="shared" ref="D1815:D1846" si="71">"561681"</f>
        <v>561681</v>
      </c>
      <c r="E1815" t="s">
        <v>1955</v>
      </c>
      <c r="F1815" t="s">
        <v>139</v>
      </c>
    </row>
    <row r="1816" spans="1:6" x14ac:dyDescent="0.25">
      <c r="A1816" t="str">
        <f>"03752151"</f>
        <v>03752151</v>
      </c>
      <c r="B1816" t="s">
        <v>1956</v>
      </c>
      <c r="C1816" t="s">
        <v>15</v>
      </c>
      <c r="D1816" t="str">
        <f t="shared" si="71"/>
        <v>561681</v>
      </c>
      <c r="E1816" t="s">
        <v>1955</v>
      </c>
      <c r="F1816" t="s">
        <v>29</v>
      </c>
    </row>
    <row r="1817" spans="1:6" x14ac:dyDescent="0.25">
      <c r="A1817" t="str">
        <f>"07856580"</f>
        <v>07856580</v>
      </c>
      <c r="B1817" t="s">
        <v>1957</v>
      </c>
      <c r="C1817" t="s">
        <v>7</v>
      </c>
      <c r="D1817" t="str">
        <f t="shared" si="71"/>
        <v>561681</v>
      </c>
      <c r="E1817" t="s">
        <v>1955</v>
      </c>
      <c r="F1817" t="s">
        <v>62</v>
      </c>
    </row>
    <row r="1818" spans="1:6" x14ac:dyDescent="0.25">
      <c r="A1818" t="str">
        <f>"49864246"</f>
        <v>49864246</v>
      </c>
      <c r="B1818" t="s">
        <v>1958</v>
      </c>
      <c r="C1818" t="s">
        <v>15</v>
      </c>
      <c r="D1818" t="str">
        <f t="shared" si="71"/>
        <v>561681</v>
      </c>
      <c r="E1818" t="s">
        <v>1955</v>
      </c>
      <c r="F1818" t="s">
        <v>11</v>
      </c>
    </row>
    <row r="1819" spans="1:6" x14ac:dyDescent="0.25">
      <c r="A1819" t="str">
        <f>"22725695"</f>
        <v>22725695</v>
      </c>
      <c r="B1819" t="s">
        <v>1959</v>
      </c>
      <c r="C1819" t="s">
        <v>7</v>
      </c>
      <c r="D1819" t="str">
        <f t="shared" si="71"/>
        <v>561681</v>
      </c>
      <c r="E1819" t="s">
        <v>1955</v>
      </c>
      <c r="F1819" t="s">
        <v>11</v>
      </c>
    </row>
    <row r="1820" spans="1:6" x14ac:dyDescent="0.25">
      <c r="A1820" t="str">
        <f>"26567016"</f>
        <v>26567016</v>
      </c>
      <c r="B1820" t="s">
        <v>1960</v>
      </c>
      <c r="C1820" t="s">
        <v>7</v>
      </c>
      <c r="D1820" t="str">
        <f t="shared" si="71"/>
        <v>561681</v>
      </c>
      <c r="E1820" t="s">
        <v>1955</v>
      </c>
      <c r="F1820" t="s">
        <v>11</v>
      </c>
    </row>
    <row r="1821" spans="1:6" x14ac:dyDescent="0.25">
      <c r="A1821" t="str">
        <f>"22611690"</f>
        <v>22611690</v>
      </c>
      <c r="B1821" t="s">
        <v>1961</v>
      </c>
      <c r="C1821" t="s">
        <v>7</v>
      </c>
      <c r="D1821" t="str">
        <f t="shared" si="71"/>
        <v>561681</v>
      </c>
      <c r="E1821" t="s">
        <v>1955</v>
      </c>
      <c r="F1821" t="s">
        <v>11</v>
      </c>
    </row>
    <row r="1822" spans="1:6" x14ac:dyDescent="0.25">
      <c r="A1822" t="str">
        <f>"26658429"</f>
        <v>26658429</v>
      </c>
      <c r="B1822" t="s">
        <v>1962</v>
      </c>
      <c r="C1822" t="s">
        <v>7</v>
      </c>
      <c r="D1822" t="str">
        <f t="shared" si="71"/>
        <v>561681</v>
      </c>
      <c r="E1822" t="s">
        <v>1955</v>
      </c>
      <c r="F1822" t="s">
        <v>11</v>
      </c>
    </row>
    <row r="1823" spans="1:6" x14ac:dyDescent="0.25">
      <c r="A1823" t="str">
        <f>"28555643"</f>
        <v>28555643</v>
      </c>
      <c r="B1823" t="s">
        <v>1963</v>
      </c>
      <c r="C1823" t="s">
        <v>7</v>
      </c>
      <c r="D1823" t="str">
        <f t="shared" si="71"/>
        <v>561681</v>
      </c>
      <c r="E1823" t="s">
        <v>1955</v>
      </c>
      <c r="F1823" t="s">
        <v>29</v>
      </c>
    </row>
    <row r="1824" spans="1:6" x14ac:dyDescent="0.25">
      <c r="A1824" t="str">
        <f>"22838945"</f>
        <v>22838945</v>
      </c>
      <c r="B1824" t="s">
        <v>1964</v>
      </c>
      <c r="C1824" t="s">
        <v>7</v>
      </c>
      <c r="D1824" t="str">
        <f t="shared" si="71"/>
        <v>561681</v>
      </c>
      <c r="E1824" t="s">
        <v>1955</v>
      </c>
      <c r="F1824" t="s">
        <v>62</v>
      </c>
    </row>
    <row r="1825" spans="1:6" x14ac:dyDescent="0.25">
      <c r="A1825" t="str">
        <f>"69898511"</f>
        <v>69898511</v>
      </c>
      <c r="B1825" t="s">
        <v>1965</v>
      </c>
      <c r="C1825" t="s">
        <v>15</v>
      </c>
      <c r="D1825" t="str">
        <f t="shared" si="71"/>
        <v>561681</v>
      </c>
      <c r="E1825" t="s">
        <v>1955</v>
      </c>
      <c r="F1825" t="s">
        <v>29</v>
      </c>
    </row>
    <row r="1826" spans="1:6" x14ac:dyDescent="0.25">
      <c r="A1826" t="str">
        <f>"17661021"</f>
        <v>17661021</v>
      </c>
      <c r="B1826" t="s">
        <v>1966</v>
      </c>
      <c r="C1826" t="s">
        <v>7</v>
      </c>
      <c r="D1826" t="str">
        <f t="shared" si="71"/>
        <v>561681</v>
      </c>
      <c r="E1826" t="s">
        <v>1955</v>
      </c>
      <c r="F1826" t="s">
        <v>29</v>
      </c>
    </row>
    <row r="1827" spans="1:6" x14ac:dyDescent="0.25">
      <c r="A1827" t="str">
        <f>"22740368"</f>
        <v>22740368</v>
      </c>
      <c r="B1827" t="s">
        <v>1967</v>
      </c>
      <c r="C1827" t="s">
        <v>7</v>
      </c>
      <c r="D1827" t="str">
        <f t="shared" si="71"/>
        <v>561681</v>
      </c>
      <c r="E1827" t="s">
        <v>1955</v>
      </c>
      <c r="F1827" t="s">
        <v>35</v>
      </c>
    </row>
    <row r="1828" spans="1:6" x14ac:dyDescent="0.25">
      <c r="A1828" t="str">
        <f>"62237969"</f>
        <v>62237969</v>
      </c>
      <c r="B1828" t="s">
        <v>1968</v>
      </c>
      <c r="C1828" t="s">
        <v>7</v>
      </c>
      <c r="D1828" t="str">
        <f t="shared" si="71"/>
        <v>561681</v>
      </c>
      <c r="E1828" t="s">
        <v>1955</v>
      </c>
      <c r="F1828" t="s">
        <v>9</v>
      </c>
    </row>
    <row r="1829" spans="1:6" x14ac:dyDescent="0.25">
      <c r="A1829" t="str">
        <f>"22718851"</f>
        <v>22718851</v>
      </c>
      <c r="B1829" t="s">
        <v>1969</v>
      </c>
      <c r="C1829" t="s">
        <v>7</v>
      </c>
      <c r="D1829" t="str">
        <f t="shared" si="71"/>
        <v>561681</v>
      </c>
      <c r="E1829" t="s">
        <v>1955</v>
      </c>
      <c r="F1829" t="s">
        <v>11</v>
      </c>
    </row>
    <row r="1830" spans="1:6" x14ac:dyDescent="0.25">
      <c r="A1830" t="str">
        <f>"28554469"</f>
        <v>28554469</v>
      </c>
      <c r="B1830" t="s">
        <v>1970</v>
      </c>
      <c r="C1830" t="s">
        <v>7</v>
      </c>
      <c r="D1830" t="str">
        <f t="shared" si="71"/>
        <v>561681</v>
      </c>
      <c r="E1830" t="s">
        <v>1955</v>
      </c>
      <c r="F1830" t="s">
        <v>9</v>
      </c>
    </row>
    <row r="1831" spans="1:6" x14ac:dyDescent="0.25">
      <c r="A1831" t="str">
        <f>"26620952"</f>
        <v>26620952</v>
      </c>
      <c r="B1831" t="s">
        <v>1971</v>
      </c>
      <c r="C1831" t="s">
        <v>7</v>
      </c>
      <c r="D1831" t="str">
        <f t="shared" si="71"/>
        <v>561681</v>
      </c>
      <c r="E1831" t="s">
        <v>1955</v>
      </c>
      <c r="F1831" t="s">
        <v>11</v>
      </c>
    </row>
    <row r="1832" spans="1:6" x14ac:dyDescent="0.25">
      <c r="A1832" t="str">
        <f>"28552831"</f>
        <v>28552831</v>
      </c>
      <c r="B1832" t="s">
        <v>1972</v>
      </c>
      <c r="C1832" t="s">
        <v>7</v>
      </c>
      <c r="D1832" t="str">
        <f t="shared" si="71"/>
        <v>561681</v>
      </c>
      <c r="E1832" t="s">
        <v>1955</v>
      </c>
      <c r="F1832" t="s">
        <v>9</v>
      </c>
    </row>
    <row r="1833" spans="1:6" x14ac:dyDescent="0.25">
      <c r="A1833" t="str">
        <f>"62237462"</f>
        <v>62237462</v>
      </c>
      <c r="B1833" t="s">
        <v>1973</v>
      </c>
      <c r="C1833" t="s">
        <v>15</v>
      </c>
      <c r="D1833" t="str">
        <f t="shared" si="71"/>
        <v>561681</v>
      </c>
      <c r="E1833" t="s">
        <v>1955</v>
      </c>
      <c r="F1833" t="s">
        <v>65</v>
      </c>
    </row>
    <row r="1834" spans="1:6" x14ac:dyDescent="0.25">
      <c r="A1834" t="str">
        <f>"44225156"</f>
        <v>44225156</v>
      </c>
      <c r="B1834" t="s">
        <v>1974</v>
      </c>
      <c r="C1834" t="s">
        <v>7</v>
      </c>
      <c r="D1834" t="str">
        <f t="shared" si="71"/>
        <v>561681</v>
      </c>
      <c r="E1834" t="s">
        <v>1955</v>
      </c>
      <c r="F1834" t="s">
        <v>9</v>
      </c>
    </row>
    <row r="1835" spans="1:6" x14ac:dyDescent="0.25">
      <c r="A1835" t="str">
        <f>"26550539"</f>
        <v>26550539</v>
      </c>
      <c r="B1835" t="s">
        <v>1975</v>
      </c>
      <c r="C1835" t="s">
        <v>7</v>
      </c>
      <c r="D1835" t="str">
        <f t="shared" si="71"/>
        <v>561681</v>
      </c>
      <c r="E1835" t="s">
        <v>1955</v>
      </c>
      <c r="F1835" t="s">
        <v>11</v>
      </c>
    </row>
    <row r="1836" spans="1:6" x14ac:dyDescent="0.25">
      <c r="A1836" t="str">
        <f>"68429461"</f>
        <v>68429461</v>
      </c>
      <c r="B1836" t="s">
        <v>1976</v>
      </c>
      <c r="C1836" t="s">
        <v>7</v>
      </c>
      <c r="D1836" t="str">
        <f t="shared" si="71"/>
        <v>561681</v>
      </c>
      <c r="E1836" t="s">
        <v>1955</v>
      </c>
      <c r="F1836" t="s">
        <v>11</v>
      </c>
    </row>
    <row r="1837" spans="1:6" x14ac:dyDescent="0.25">
      <c r="A1837" t="str">
        <f>"26579944"</f>
        <v>26579944</v>
      </c>
      <c r="B1837" t="s">
        <v>1977</v>
      </c>
      <c r="C1837" t="s">
        <v>7</v>
      </c>
      <c r="D1837" t="str">
        <f t="shared" si="71"/>
        <v>561681</v>
      </c>
      <c r="E1837" t="s">
        <v>1955</v>
      </c>
      <c r="F1837" t="s">
        <v>11</v>
      </c>
    </row>
    <row r="1838" spans="1:6" x14ac:dyDescent="0.25">
      <c r="A1838" t="str">
        <f>"70857873"</f>
        <v>70857873</v>
      </c>
      <c r="B1838" t="s">
        <v>1978</v>
      </c>
      <c r="C1838" t="s">
        <v>7</v>
      </c>
      <c r="D1838" t="str">
        <f t="shared" si="71"/>
        <v>561681</v>
      </c>
      <c r="E1838" t="s">
        <v>1955</v>
      </c>
      <c r="F1838" t="s">
        <v>11</v>
      </c>
    </row>
    <row r="1839" spans="1:6" x14ac:dyDescent="0.25">
      <c r="A1839" t="str">
        <f>"13963139"</f>
        <v>13963139</v>
      </c>
      <c r="B1839" t="s">
        <v>1979</v>
      </c>
      <c r="C1839" t="s">
        <v>7</v>
      </c>
      <c r="D1839" t="str">
        <f t="shared" si="71"/>
        <v>561681</v>
      </c>
      <c r="E1839" t="s">
        <v>1955</v>
      </c>
      <c r="F1839" t="s">
        <v>11</v>
      </c>
    </row>
    <row r="1840" spans="1:6" x14ac:dyDescent="0.25">
      <c r="A1840" t="str">
        <f>"73634824"</f>
        <v>73634824</v>
      </c>
      <c r="B1840" t="s">
        <v>1980</v>
      </c>
      <c r="C1840" t="s">
        <v>43</v>
      </c>
      <c r="D1840" t="str">
        <f t="shared" si="71"/>
        <v>561681</v>
      </c>
      <c r="E1840" t="s">
        <v>1955</v>
      </c>
      <c r="F1840" t="s">
        <v>44</v>
      </c>
    </row>
    <row r="1841" spans="1:6" x14ac:dyDescent="0.25">
      <c r="A1841" t="str">
        <f>"22871047"</f>
        <v>22871047</v>
      </c>
      <c r="B1841" t="s">
        <v>1981</v>
      </c>
      <c r="C1841" t="s">
        <v>7</v>
      </c>
      <c r="D1841" t="str">
        <f t="shared" si="71"/>
        <v>561681</v>
      </c>
      <c r="E1841" t="s">
        <v>1955</v>
      </c>
      <c r="F1841" t="s">
        <v>29</v>
      </c>
    </row>
    <row r="1842" spans="1:6" x14ac:dyDescent="0.25">
      <c r="A1842" t="str">
        <f>"48282707"</f>
        <v>48282707</v>
      </c>
      <c r="B1842" t="s">
        <v>1982</v>
      </c>
      <c r="C1842" t="s">
        <v>7</v>
      </c>
      <c r="D1842" t="str">
        <f t="shared" si="71"/>
        <v>561681</v>
      </c>
      <c r="E1842" t="s">
        <v>1955</v>
      </c>
      <c r="F1842" t="s">
        <v>38</v>
      </c>
    </row>
    <row r="1843" spans="1:6" x14ac:dyDescent="0.25">
      <c r="A1843" t="str">
        <f>"48282049"</f>
        <v>48282049</v>
      </c>
      <c r="B1843" t="s">
        <v>1983</v>
      </c>
      <c r="C1843" t="s">
        <v>7</v>
      </c>
      <c r="D1843" t="str">
        <f t="shared" si="71"/>
        <v>561681</v>
      </c>
      <c r="E1843" t="s">
        <v>1955</v>
      </c>
      <c r="F1843" t="s">
        <v>38</v>
      </c>
    </row>
    <row r="1844" spans="1:6" x14ac:dyDescent="0.25">
      <c r="A1844" t="str">
        <f>"21803552"</f>
        <v>21803552</v>
      </c>
      <c r="B1844" t="s">
        <v>1984</v>
      </c>
      <c r="C1844" t="s">
        <v>124</v>
      </c>
      <c r="D1844" t="str">
        <f t="shared" si="71"/>
        <v>561681</v>
      </c>
      <c r="E1844" t="s">
        <v>1955</v>
      </c>
      <c r="F1844" t="s">
        <v>11</v>
      </c>
    </row>
    <row r="1845" spans="1:6" x14ac:dyDescent="0.25">
      <c r="A1845" t="str">
        <f>"05027071"</f>
        <v>05027071</v>
      </c>
      <c r="B1845" t="s">
        <v>1985</v>
      </c>
      <c r="C1845" t="s">
        <v>7</v>
      </c>
      <c r="D1845" t="str">
        <f t="shared" si="71"/>
        <v>561681</v>
      </c>
      <c r="E1845" t="s">
        <v>1955</v>
      </c>
      <c r="F1845" t="s">
        <v>11</v>
      </c>
    </row>
    <row r="1846" spans="1:6" x14ac:dyDescent="0.25">
      <c r="A1846" t="str">
        <f>"26655675"</f>
        <v>26655675</v>
      </c>
      <c r="B1846" t="s">
        <v>1986</v>
      </c>
      <c r="C1846" t="s">
        <v>7</v>
      </c>
      <c r="D1846" t="str">
        <f t="shared" si="71"/>
        <v>561681</v>
      </c>
      <c r="E1846" t="s">
        <v>1955</v>
      </c>
      <c r="F1846" t="s">
        <v>11</v>
      </c>
    </row>
    <row r="1847" spans="1:6" x14ac:dyDescent="0.25">
      <c r="A1847" t="str">
        <f>"22762892"</f>
        <v>22762892</v>
      </c>
      <c r="B1847" t="s">
        <v>1987</v>
      </c>
      <c r="C1847" t="s">
        <v>7</v>
      </c>
      <c r="D1847" t="str">
        <f t="shared" ref="D1847:D1871" si="72">"561681"</f>
        <v>561681</v>
      </c>
      <c r="E1847" t="s">
        <v>1955</v>
      </c>
      <c r="F1847" t="s">
        <v>11</v>
      </c>
    </row>
    <row r="1848" spans="1:6" x14ac:dyDescent="0.25">
      <c r="A1848" t="str">
        <f>"22664912"</f>
        <v>22664912</v>
      </c>
      <c r="B1848" t="s">
        <v>1988</v>
      </c>
      <c r="C1848" t="s">
        <v>7</v>
      </c>
      <c r="D1848" t="str">
        <f t="shared" si="72"/>
        <v>561681</v>
      </c>
      <c r="E1848" t="s">
        <v>1955</v>
      </c>
      <c r="F1848" t="s">
        <v>11</v>
      </c>
    </row>
    <row r="1849" spans="1:6" x14ac:dyDescent="0.25">
      <c r="A1849" t="str">
        <f>"26986353"</f>
        <v>26986353</v>
      </c>
      <c r="B1849" t="s">
        <v>1989</v>
      </c>
      <c r="C1849" t="s">
        <v>7</v>
      </c>
      <c r="D1849" t="str">
        <f t="shared" si="72"/>
        <v>561681</v>
      </c>
      <c r="E1849" t="s">
        <v>1955</v>
      </c>
      <c r="F1849" t="s">
        <v>11</v>
      </c>
    </row>
    <row r="1850" spans="1:6" x14ac:dyDescent="0.25">
      <c r="A1850" t="str">
        <f>"43226507"</f>
        <v>43226507</v>
      </c>
      <c r="B1850" t="s">
        <v>1990</v>
      </c>
      <c r="C1850" t="s">
        <v>20</v>
      </c>
      <c r="D1850" t="str">
        <f t="shared" si="72"/>
        <v>561681</v>
      </c>
      <c r="E1850" t="s">
        <v>1955</v>
      </c>
      <c r="F1850" t="s">
        <v>21</v>
      </c>
    </row>
    <row r="1851" spans="1:6" x14ac:dyDescent="0.25">
      <c r="A1851" t="str">
        <f>"46750908"</f>
        <v>46750908</v>
      </c>
      <c r="B1851" t="s">
        <v>1991</v>
      </c>
      <c r="C1851" t="s">
        <v>43</v>
      </c>
      <c r="D1851" t="str">
        <f t="shared" si="72"/>
        <v>561681</v>
      </c>
      <c r="E1851" t="s">
        <v>1955</v>
      </c>
      <c r="F1851" t="s">
        <v>44</v>
      </c>
    </row>
    <row r="1852" spans="1:6" x14ac:dyDescent="0.25">
      <c r="A1852" t="str">
        <f>"63778203"</f>
        <v>63778203</v>
      </c>
      <c r="B1852" t="s">
        <v>1992</v>
      </c>
      <c r="C1852" t="s">
        <v>43</v>
      </c>
      <c r="D1852" t="str">
        <f t="shared" si="72"/>
        <v>561681</v>
      </c>
      <c r="E1852" t="s">
        <v>1955</v>
      </c>
      <c r="F1852" t="s">
        <v>44</v>
      </c>
    </row>
    <row r="1853" spans="1:6" x14ac:dyDescent="0.25">
      <c r="A1853" t="str">
        <f>"02471752"</f>
        <v>02471752</v>
      </c>
      <c r="B1853" t="s">
        <v>1993</v>
      </c>
      <c r="C1853" t="s">
        <v>7</v>
      </c>
      <c r="D1853" t="str">
        <f t="shared" si="72"/>
        <v>561681</v>
      </c>
      <c r="E1853" t="s">
        <v>1955</v>
      </c>
      <c r="F1853" t="s">
        <v>13</v>
      </c>
    </row>
    <row r="1854" spans="1:6" x14ac:dyDescent="0.25">
      <c r="A1854" t="str">
        <f>"63778858"</f>
        <v>63778858</v>
      </c>
      <c r="B1854" t="s">
        <v>1994</v>
      </c>
      <c r="C1854" t="s">
        <v>15</v>
      </c>
      <c r="D1854" t="str">
        <f t="shared" si="72"/>
        <v>561681</v>
      </c>
      <c r="E1854" t="s">
        <v>1955</v>
      </c>
      <c r="F1854" t="s">
        <v>16</v>
      </c>
    </row>
    <row r="1855" spans="1:6" x14ac:dyDescent="0.25">
      <c r="A1855" t="str">
        <f>"26621690"</f>
        <v>26621690</v>
      </c>
      <c r="B1855" t="s">
        <v>1995</v>
      </c>
      <c r="C1855" t="s">
        <v>7</v>
      </c>
      <c r="D1855" t="str">
        <f t="shared" si="72"/>
        <v>561681</v>
      </c>
      <c r="E1855" t="s">
        <v>1955</v>
      </c>
      <c r="F1855" t="s">
        <v>9</v>
      </c>
    </row>
    <row r="1856" spans="1:6" x14ac:dyDescent="0.25">
      <c r="A1856" t="str">
        <f>"22819771"</f>
        <v>22819771</v>
      </c>
      <c r="B1856" t="s">
        <v>1996</v>
      </c>
      <c r="C1856" t="s">
        <v>7</v>
      </c>
      <c r="D1856" t="str">
        <f t="shared" si="72"/>
        <v>561681</v>
      </c>
      <c r="E1856" t="s">
        <v>1955</v>
      </c>
      <c r="F1856" t="s">
        <v>35</v>
      </c>
    </row>
    <row r="1857" spans="1:6" x14ac:dyDescent="0.25">
      <c r="A1857" t="str">
        <f>"27012611"</f>
        <v>27012611</v>
      </c>
      <c r="B1857" t="s">
        <v>1997</v>
      </c>
      <c r="C1857" t="s">
        <v>7</v>
      </c>
      <c r="D1857" t="str">
        <f t="shared" si="72"/>
        <v>561681</v>
      </c>
      <c r="E1857" t="s">
        <v>1955</v>
      </c>
      <c r="F1857" t="s">
        <v>9</v>
      </c>
    </row>
    <row r="1858" spans="1:6" x14ac:dyDescent="0.25">
      <c r="A1858" t="str">
        <f>"04848411"</f>
        <v>04848411</v>
      </c>
      <c r="B1858" t="s">
        <v>1998</v>
      </c>
      <c r="C1858" t="s">
        <v>7</v>
      </c>
      <c r="D1858" t="str">
        <f t="shared" si="72"/>
        <v>561681</v>
      </c>
      <c r="E1858" t="s">
        <v>1955</v>
      </c>
      <c r="F1858" t="s">
        <v>11</v>
      </c>
    </row>
    <row r="1859" spans="1:6" x14ac:dyDescent="0.25">
      <c r="A1859" t="str">
        <f>"21388971"</f>
        <v>21388971</v>
      </c>
      <c r="B1859" t="s">
        <v>1999</v>
      </c>
      <c r="C1859" t="s">
        <v>7</v>
      </c>
      <c r="D1859" t="str">
        <f t="shared" si="72"/>
        <v>561681</v>
      </c>
      <c r="E1859" t="s">
        <v>1955</v>
      </c>
      <c r="F1859" t="s">
        <v>11</v>
      </c>
    </row>
    <row r="1860" spans="1:6" x14ac:dyDescent="0.25">
      <c r="A1860" t="str">
        <f>"06379176"</f>
        <v>06379176</v>
      </c>
      <c r="B1860" t="s">
        <v>2000</v>
      </c>
      <c r="C1860" t="s">
        <v>7</v>
      </c>
      <c r="D1860" t="str">
        <f t="shared" si="72"/>
        <v>561681</v>
      </c>
      <c r="E1860" t="s">
        <v>1955</v>
      </c>
      <c r="F1860" t="s">
        <v>29</v>
      </c>
    </row>
    <row r="1861" spans="1:6" x14ac:dyDescent="0.25">
      <c r="A1861" t="str">
        <f>"26654911"</f>
        <v>26654911</v>
      </c>
      <c r="B1861" t="s">
        <v>2001</v>
      </c>
      <c r="C1861" t="s">
        <v>7</v>
      </c>
      <c r="D1861" t="str">
        <f t="shared" si="72"/>
        <v>561681</v>
      </c>
      <c r="E1861" t="s">
        <v>1955</v>
      </c>
      <c r="F1861" t="s">
        <v>11</v>
      </c>
    </row>
    <row r="1862" spans="1:6" x14ac:dyDescent="0.25">
      <c r="A1862" t="str">
        <f>"26585481"</f>
        <v>26585481</v>
      </c>
      <c r="B1862" t="s">
        <v>2002</v>
      </c>
      <c r="C1862" t="s">
        <v>7</v>
      </c>
      <c r="D1862" t="str">
        <f t="shared" si="72"/>
        <v>561681</v>
      </c>
      <c r="E1862" t="s">
        <v>1955</v>
      </c>
      <c r="F1862" t="s">
        <v>11</v>
      </c>
    </row>
    <row r="1863" spans="1:6" x14ac:dyDescent="0.25">
      <c r="A1863" t="str">
        <f>"68299656"</f>
        <v>68299656</v>
      </c>
      <c r="B1863" t="s">
        <v>2003</v>
      </c>
      <c r="C1863" t="s">
        <v>7</v>
      </c>
      <c r="D1863" t="str">
        <f t="shared" si="72"/>
        <v>561681</v>
      </c>
      <c r="E1863" t="s">
        <v>1955</v>
      </c>
      <c r="F1863" t="s">
        <v>11</v>
      </c>
    </row>
    <row r="1864" spans="1:6" x14ac:dyDescent="0.25">
      <c r="A1864" t="str">
        <f>"03935515"</f>
        <v>03935515</v>
      </c>
      <c r="B1864" t="s">
        <v>2004</v>
      </c>
      <c r="C1864" t="s">
        <v>7</v>
      </c>
      <c r="D1864" t="str">
        <f t="shared" si="72"/>
        <v>561681</v>
      </c>
      <c r="E1864" t="s">
        <v>1955</v>
      </c>
      <c r="F1864" t="s">
        <v>11</v>
      </c>
    </row>
    <row r="1865" spans="1:6" x14ac:dyDescent="0.25">
      <c r="A1865" t="str">
        <f>"63778076"</f>
        <v>63778076</v>
      </c>
      <c r="B1865" t="s">
        <v>2005</v>
      </c>
      <c r="C1865" t="s">
        <v>7</v>
      </c>
      <c r="D1865" t="str">
        <f t="shared" si="72"/>
        <v>561681</v>
      </c>
      <c r="E1865" t="s">
        <v>1955</v>
      </c>
      <c r="F1865" t="s">
        <v>35</v>
      </c>
    </row>
    <row r="1866" spans="1:6" x14ac:dyDescent="0.25">
      <c r="A1866" t="str">
        <f>"75017873"</f>
        <v>75017873</v>
      </c>
      <c r="B1866" t="s">
        <v>2006</v>
      </c>
      <c r="C1866" t="s">
        <v>15</v>
      </c>
      <c r="D1866" t="str">
        <f t="shared" si="72"/>
        <v>561681</v>
      </c>
      <c r="E1866" t="s">
        <v>1955</v>
      </c>
      <c r="F1866" t="s">
        <v>137</v>
      </c>
    </row>
    <row r="1867" spans="1:6" x14ac:dyDescent="0.25">
      <c r="A1867" t="str">
        <f>"26635500"</f>
        <v>26635500</v>
      </c>
      <c r="B1867" t="s">
        <v>2007</v>
      </c>
      <c r="C1867" t="s">
        <v>7</v>
      </c>
      <c r="D1867" t="str">
        <f t="shared" si="72"/>
        <v>561681</v>
      </c>
      <c r="E1867" t="s">
        <v>1955</v>
      </c>
      <c r="F1867" t="s">
        <v>11</v>
      </c>
    </row>
    <row r="1868" spans="1:6" x14ac:dyDescent="0.25">
      <c r="A1868" t="str">
        <f>"02160919"</f>
        <v>02160919</v>
      </c>
      <c r="B1868" t="s">
        <v>2008</v>
      </c>
      <c r="C1868" t="s">
        <v>7</v>
      </c>
      <c r="D1868" t="str">
        <f t="shared" si="72"/>
        <v>561681</v>
      </c>
      <c r="E1868" t="s">
        <v>1955</v>
      </c>
      <c r="F1868" t="s">
        <v>35</v>
      </c>
    </row>
    <row r="1869" spans="1:6" x14ac:dyDescent="0.25">
      <c r="A1869" t="str">
        <f>"48283134"</f>
        <v>48283134</v>
      </c>
      <c r="B1869" t="s">
        <v>2009</v>
      </c>
      <c r="C1869" t="s">
        <v>7</v>
      </c>
      <c r="D1869" t="str">
        <f t="shared" si="72"/>
        <v>561681</v>
      </c>
      <c r="E1869" t="s">
        <v>1955</v>
      </c>
      <c r="F1869" t="s">
        <v>9</v>
      </c>
    </row>
    <row r="1870" spans="1:6" x14ac:dyDescent="0.25">
      <c r="A1870" t="str">
        <f>"14269368"</f>
        <v>14269368</v>
      </c>
      <c r="B1870" t="s">
        <v>2010</v>
      </c>
      <c r="C1870" t="s">
        <v>7</v>
      </c>
      <c r="D1870" t="str">
        <f t="shared" si="72"/>
        <v>561681</v>
      </c>
      <c r="E1870" t="s">
        <v>1955</v>
      </c>
      <c r="F1870" t="s">
        <v>29</v>
      </c>
    </row>
    <row r="1871" spans="1:6" x14ac:dyDescent="0.25">
      <c r="A1871" t="str">
        <f>"71249168"</f>
        <v>71249168</v>
      </c>
      <c r="B1871" t="s">
        <v>2011</v>
      </c>
      <c r="C1871" t="s">
        <v>20</v>
      </c>
      <c r="D1871" t="str">
        <f t="shared" si="72"/>
        <v>561681</v>
      </c>
      <c r="E1871" t="s">
        <v>1955</v>
      </c>
      <c r="F1871" t="s">
        <v>21</v>
      </c>
    </row>
    <row r="1872" spans="1:6" x14ac:dyDescent="0.25">
      <c r="A1872" t="str">
        <f>"26628490"</f>
        <v>26628490</v>
      </c>
      <c r="B1872" t="s">
        <v>2012</v>
      </c>
      <c r="C1872" t="s">
        <v>7</v>
      </c>
      <c r="D1872" t="str">
        <f t="shared" ref="D1872:D1878" si="73">"577219"</f>
        <v>577219</v>
      </c>
      <c r="E1872" t="s">
        <v>2013</v>
      </c>
      <c r="F1872" t="s">
        <v>9</v>
      </c>
    </row>
    <row r="1873" spans="1:6" x14ac:dyDescent="0.25">
      <c r="A1873" t="str">
        <f>"71171410"</f>
        <v>71171410</v>
      </c>
      <c r="B1873" t="s">
        <v>2014</v>
      </c>
      <c r="C1873" t="s">
        <v>37</v>
      </c>
      <c r="D1873" t="str">
        <f t="shared" si="73"/>
        <v>577219</v>
      </c>
      <c r="E1873" t="s">
        <v>2013</v>
      </c>
      <c r="F1873" t="s">
        <v>38</v>
      </c>
    </row>
    <row r="1874" spans="1:6" x14ac:dyDescent="0.25">
      <c r="A1874" t="str">
        <f>"45597901"</f>
        <v>45597901</v>
      </c>
      <c r="B1874" t="s">
        <v>2015</v>
      </c>
      <c r="C1874" t="s">
        <v>7</v>
      </c>
      <c r="D1874" t="str">
        <f t="shared" si="73"/>
        <v>577219</v>
      </c>
      <c r="E1874" t="s">
        <v>2013</v>
      </c>
      <c r="F1874" t="s">
        <v>38</v>
      </c>
    </row>
    <row r="1875" spans="1:6" x14ac:dyDescent="0.25">
      <c r="A1875" t="str">
        <f>"62012801"</f>
        <v>62012801</v>
      </c>
      <c r="B1875" t="s">
        <v>2016</v>
      </c>
      <c r="C1875" t="s">
        <v>15</v>
      </c>
      <c r="D1875" t="str">
        <f t="shared" si="73"/>
        <v>577219</v>
      </c>
      <c r="E1875" t="s">
        <v>2013</v>
      </c>
      <c r="F1875" t="s">
        <v>16</v>
      </c>
    </row>
    <row r="1876" spans="1:6" x14ac:dyDescent="0.25">
      <c r="A1876" t="str">
        <f>"26641305"</f>
        <v>26641305</v>
      </c>
      <c r="B1876" t="s">
        <v>2017</v>
      </c>
      <c r="C1876" t="s">
        <v>7</v>
      </c>
      <c r="D1876" t="str">
        <f t="shared" si="73"/>
        <v>577219</v>
      </c>
      <c r="E1876" t="s">
        <v>2013</v>
      </c>
      <c r="F1876" t="s">
        <v>11</v>
      </c>
    </row>
    <row r="1877" spans="1:6" x14ac:dyDescent="0.25">
      <c r="A1877" t="str">
        <f>"75041332"</f>
        <v>75041332</v>
      </c>
      <c r="B1877" t="s">
        <v>2018</v>
      </c>
      <c r="C1877" t="s">
        <v>7</v>
      </c>
      <c r="D1877" t="str">
        <f t="shared" si="73"/>
        <v>577219</v>
      </c>
      <c r="E1877" t="s">
        <v>2013</v>
      </c>
      <c r="F1877" t="s">
        <v>865</v>
      </c>
    </row>
    <row r="1878" spans="1:6" x14ac:dyDescent="0.25">
      <c r="A1878" t="str">
        <f>"71239154"</f>
        <v>71239154</v>
      </c>
      <c r="B1878" t="s">
        <v>2019</v>
      </c>
      <c r="C1878" t="s">
        <v>15</v>
      </c>
      <c r="D1878" t="str">
        <f t="shared" si="73"/>
        <v>577219</v>
      </c>
      <c r="E1878" t="s">
        <v>2013</v>
      </c>
      <c r="F1878" t="s">
        <v>18</v>
      </c>
    </row>
    <row r="1879" spans="1:6" x14ac:dyDescent="0.25">
      <c r="A1879" t="str">
        <f>"65197712"</f>
        <v>65197712</v>
      </c>
      <c r="B1879" t="s">
        <v>2020</v>
      </c>
      <c r="C1879" t="s">
        <v>7</v>
      </c>
      <c r="D1879" t="str">
        <f>"577227"</f>
        <v>577227</v>
      </c>
      <c r="E1879" t="s">
        <v>2021</v>
      </c>
      <c r="F1879" t="s">
        <v>38</v>
      </c>
    </row>
    <row r="1880" spans="1:6" x14ac:dyDescent="0.25">
      <c r="A1880" t="str">
        <f>"62014161"</f>
        <v>62014161</v>
      </c>
      <c r="B1880" t="s">
        <v>2022</v>
      </c>
      <c r="C1880" t="s">
        <v>15</v>
      </c>
      <c r="D1880" t="str">
        <f>"577227"</f>
        <v>577227</v>
      </c>
      <c r="E1880" t="s">
        <v>2021</v>
      </c>
      <c r="F1880" t="s">
        <v>16</v>
      </c>
    </row>
    <row r="1881" spans="1:6" x14ac:dyDescent="0.25">
      <c r="A1881" t="str">
        <f>"22763490"</f>
        <v>22763490</v>
      </c>
      <c r="B1881" t="s">
        <v>2023</v>
      </c>
      <c r="C1881" t="s">
        <v>7</v>
      </c>
      <c r="D1881" t="str">
        <f t="shared" ref="D1881:D1889" si="74">"563641"</f>
        <v>563641</v>
      </c>
      <c r="E1881" t="s">
        <v>2024</v>
      </c>
      <c r="F1881" t="s">
        <v>18</v>
      </c>
    </row>
    <row r="1882" spans="1:6" x14ac:dyDescent="0.25">
      <c r="A1882" t="str">
        <f>"22824049"</f>
        <v>22824049</v>
      </c>
      <c r="B1882" t="s">
        <v>2025</v>
      </c>
      <c r="C1882" t="s">
        <v>7</v>
      </c>
      <c r="D1882" t="str">
        <f t="shared" si="74"/>
        <v>563641</v>
      </c>
      <c r="E1882" t="s">
        <v>2024</v>
      </c>
      <c r="F1882" t="s">
        <v>9</v>
      </c>
    </row>
    <row r="1883" spans="1:6" x14ac:dyDescent="0.25">
      <c r="A1883" t="str">
        <f>"22838686"</f>
        <v>22838686</v>
      </c>
      <c r="B1883" t="s">
        <v>2026</v>
      </c>
      <c r="C1883" t="s">
        <v>7</v>
      </c>
      <c r="D1883" t="str">
        <f t="shared" si="74"/>
        <v>563641</v>
      </c>
      <c r="E1883" t="s">
        <v>2024</v>
      </c>
      <c r="F1883" t="s">
        <v>11</v>
      </c>
    </row>
    <row r="1884" spans="1:6" x14ac:dyDescent="0.25">
      <c r="A1884" t="str">
        <f>"22718826"</f>
        <v>22718826</v>
      </c>
      <c r="B1884" t="s">
        <v>2027</v>
      </c>
      <c r="C1884" t="s">
        <v>7</v>
      </c>
      <c r="D1884" t="str">
        <f t="shared" si="74"/>
        <v>563641</v>
      </c>
      <c r="E1884" t="s">
        <v>2024</v>
      </c>
      <c r="F1884" t="s">
        <v>62</v>
      </c>
    </row>
    <row r="1885" spans="1:6" x14ac:dyDescent="0.25">
      <c r="A1885" t="str">
        <f>"64668045"</f>
        <v>64668045</v>
      </c>
      <c r="B1885" t="s">
        <v>2028</v>
      </c>
      <c r="C1885" t="s">
        <v>15</v>
      </c>
      <c r="D1885" t="str">
        <f t="shared" si="74"/>
        <v>563641</v>
      </c>
      <c r="E1885" t="s">
        <v>2024</v>
      </c>
      <c r="F1885" t="s">
        <v>16</v>
      </c>
    </row>
    <row r="1886" spans="1:6" x14ac:dyDescent="0.25">
      <c r="A1886" t="str">
        <f>"71210695"</f>
        <v>71210695</v>
      </c>
      <c r="B1886" t="s">
        <v>2029</v>
      </c>
      <c r="C1886" t="s">
        <v>15</v>
      </c>
      <c r="D1886" t="str">
        <f t="shared" si="74"/>
        <v>563641</v>
      </c>
      <c r="E1886" t="s">
        <v>2024</v>
      </c>
      <c r="F1886" t="s">
        <v>11</v>
      </c>
    </row>
    <row r="1887" spans="1:6" x14ac:dyDescent="0.25">
      <c r="A1887" t="str">
        <f>"60252294"</f>
        <v>60252294</v>
      </c>
      <c r="B1887" t="s">
        <v>2030</v>
      </c>
      <c r="C1887" t="s">
        <v>15</v>
      </c>
      <c r="D1887" t="str">
        <f t="shared" si="74"/>
        <v>563641</v>
      </c>
      <c r="E1887" t="s">
        <v>2024</v>
      </c>
      <c r="F1887" t="s">
        <v>9</v>
      </c>
    </row>
    <row r="1888" spans="1:6" x14ac:dyDescent="0.25">
      <c r="A1888" t="str">
        <f>"43257402"</f>
        <v>43257402</v>
      </c>
      <c r="B1888" t="s">
        <v>2031</v>
      </c>
      <c r="C1888" t="s">
        <v>7</v>
      </c>
      <c r="D1888" t="str">
        <f t="shared" si="74"/>
        <v>563641</v>
      </c>
      <c r="E1888" t="s">
        <v>2024</v>
      </c>
      <c r="F1888" t="s">
        <v>9</v>
      </c>
    </row>
    <row r="1889" spans="1:6" x14ac:dyDescent="0.25">
      <c r="A1889" t="str">
        <f>"04065921"</f>
        <v>04065921</v>
      </c>
      <c r="B1889" t="s">
        <v>2032</v>
      </c>
      <c r="C1889" t="s">
        <v>15</v>
      </c>
      <c r="D1889" t="str">
        <f t="shared" si="74"/>
        <v>563641</v>
      </c>
      <c r="E1889" t="s">
        <v>2024</v>
      </c>
      <c r="F1889" t="s">
        <v>29</v>
      </c>
    </row>
    <row r="1890" spans="1:6" x14ac:dyDescent="0.25">
      <c r="A1890" t="str">
        <f>"65100212"</f>
        <v>65100212</v>
      </c>
      <c r="B1890" t="s">
        <v>2033</v>
      </c>
      <c r="C1890" t="s">
        <v>15</v>
      </c>
      <c r="D1890" t="str">
        <f>"564141"</f>
        <v>564141</v>
      </c>
      <c r="E1890" t="s">
        <v>2034</v>
      </c>
      <c r="F1890" t="s">
        <v>16</v>
      </c>
    </row>
    <row r="1891" spans="1:6" x14ac:dyDescent="0.25">
      <c r="A1891" t="str">
        <f>"49112163"</f>
        <v>49112163</v>
      </c>
      <c r="B1891" t="s">
        <v>2035</v>
      </c>
      <c r="C1891" t="s">
        <v>15</v>
      </c>
      <c r="D1891" t="str">
        <f>"564141"</f>
        <v>564141</v>
      </c>
      <c r="E1891" t="s">
        <v>2034</v>
      </c>
      <c r="F1891" t="s">
        <v>16</v>
      </c>
    </row>
    <row r="1892" spans="1:6" x14ac:dyDescent="0.25">
      <c r="A1892" t="str">
        <f>"28551869"</f>
        <v>28551869</v>
      </c>
      <c r="B1892" t="s">
        <v>2036</v>
      </c>
      <c r="C1892" t="s">
        <v>7</v>
      </c>
      <c r="D1892" t="str">
        <f>"564141"</f>
        <v>564141</v>
      </c>
      <c r="E1892" t="s">
        <v>2034</v>
      </c>
      <c r="F1892" t="s">
        <v>11</v>
      </c>
    </row>
    <row r="1893" spans="1:6" x14ac:dyDescent="0.25">
      <c r="A1893" t="str">
        <f>"44224184"</f>
        <v>44224184</v>
      </c>
      <c r="B1893" t="s">
        <v>2037</v>
      </c>
      <c r="C1893" t="s">
        <v>15</v>
      </c>
      <c r="D1893" t="str">
        <f>"564141"</f>
        <v>564141</v>
      </c>
      <c r="E1893" t="s">
        <v>2034</v>
      </c>
      <c r="F1893" t="s">
        <v>9</v>
      </c>
    </row>
    <row r="1894" spans="1:6" x14ac:dyDescent="0.25">
      <c r="A1894" t="str">
        <f>"22905898"</f>
        <v>22905898</v>
      </c>
      <c r="B1894" t="s">
        <v>2038</v>
      </c>
      <c r="C1894" t="s">
        <v>7</v>
      </c>
      <c r="D1894" t="str">
        <f>"564141"</f>
        <v>564141</v>
      </c>
      <c r="E1894" t="s">
        <v>2034</v>
      </c>
      <c r="F1894" t="s">
        <v>35</v>
      </c>
    </row>
    <row r="1895" spans="1:6" x14ac:dyDescent="0.25">
      <c r="A1895" t="str">
        <f>"02492172"</f>
        <v>02492172</v>
      </c>
      <c r="B1895" t="s">
        <v>2039</v>
      </c>
      <c r="C1895" t="s">
        <v>78</v>
      </c>
      <c r="D1895" t="str">
        <f>"546232"</f>
        <v>546232</v>
      </c>
      <c r="E1895" t="s">
        <v>2040</v>
      </c>
      <c r="F1895" t="s">
        <v>160</v>
      </c>
    </row>
    <row r="1896" spans="1:6" x14ac:dyDescent="0.25">
      <c r="A1896" t="str">
        <f>"08091048"</f>
        <v>08091048</v>
      </c>
      <c r="B1896" t="s">
        <v>2041</v>
      </c>
      <c r="C1896" t="s">
        <v>7</v>
      </c>
      <c r="D1896" t="str">
        <f>"546232"</f>
        <v>546232</v>
      </c>
      <c r="E1896" t="s">
        <v>2040</v>
      </c>
      <c r="F1896" t="s">
        <v>11</v>
      </c>
    </row>
    <row r="1897" spans="1:6" x14ac:dyDescent="0.25">
      <c r="A1897" t="str">
        <f>"26576783"</f>
        <v>26576783</v>
      </c>
      <c r="B1897" t="s">
        <v>2042</v>
      </c>
      <c r="C1897" t="s">
        <v>7</v>
      </c>
      <c r="D1897" t="str">
        <f>"546232"</f>
        <v>546232</v>
      </c>
      <c r="E1897" t="s">
        <v>2040</v>
      </c>
      <c r="F1897" t="s">
        <v>29</v>
      </c>
    </row>
    <row r="1898" spans="1:6" x14ac:dyDescent="0.25">
      <c r="A1898" t="str">
        <f>"22866159"</f>
        <v>22866159</v>
      </c>
      <c r="B1898" t="s">
        <v>2043</v>
      </c>
      <c r="C1898" t="s">
        <v>7</v>
      </c>
      <c r="D1898" t="str">
        <f t="shared" ref="D1898:D1921" si="75">"563668"</f>
        <v>563668</v>
      </c>
      <c r="E1898" t="s">
        <v>2044</v>
      </c>
      <c r="F1898" t="s">
        <v>11</v>
      </c>
    </row>
    <row r="1899" spans="1:6" x14ac:dyDescent="0.25">
      <c r="A1899" t="str">
        <f>"03632679"</f>
        <v>03632679</v>
      </c>
      <c r="B1899" t="s">
        <v>2045</v>
      </c>
      <c r="C1899" t="s">
        <v>7</v>
      </c>
      <c r="D1899" t="str">
        <f t="shared" si="75"/>
        <v>563668</v>
      </c>
      <c r="E1899" t="s">
        <v>2044</v>
      </c>
      <c r="F1899" t="s">
        <v>13</v>
      </c>
    </row>
    <row r="1900" spans="1:6" x14ac:dyDescent="0.25">
      <c r="A1900" t="str">
        <f>"43256392"</f>
        <v>43256392</v>
      </c>
      <c r="B1900" t="s">
        <v>2046</v>
      </c>
      <c r="C1900" t="s">
        <v>37</v>
      </c>
      <c r="D1900" t="str">
        <f t="shared" si="75"/>
        <v>563668</v>
      </c>
      <c r="E1900" t="s">
        <v>2044</v>
      </c>
      <c r="F1900" t="s">
        <v>38</v>
      </c>
    </row>
    <row r="1901" spans="1:6" x14ac:dyDescent="0.25">
      <c r="A1901" t="str">
        <f>"65100581"</f>
        <v>65100581</v>
      </c>
      <c r="B1901" t="s">
        <v>2047</v>
      </c>
      <c r="C1901" t="s">
        <v>7</v>
      </c>
      <c r="D1901" t="str">
        <f t="shared" si="75"/>
        <v>563668</v>
      </c>
      <c r="E1901" t="s">
        <v>2044</v>
      </c>
      <c r="F1901" t="s">
        <v>9</v>
      </c>
    </row>
    <row r="1902" spans="1:6" x14ac:dyDescent="0.25">
      <c r="A1902" t="str">
        <f>"28665431"</f>
        <v>28665431</v>
      </c>
      <c r="B1902" t="s">
        <v>2048</v>
      </c>
      <c r="C1902" t="s">
        <v>78</v>
      </c>
      <c r="D1902" t="str">
        <f t="shared" si="75"/>
        <v>563668</v>
      </c>
      <c r="E1902" t="s">
        <v>2044</v>
      </c>
      <c r="F1902" t="s">
        <v>62</v>
      </c>
    </row>
    <row r="1903" spans="1:6" x14ac:dyDescent="0.25">
      <c r="A1903" t="str">
        <f>"60253011"</f>
        <v>60253011</v>
      </c>
      <c r="B1903" t="s">
        <v>2049</v>
      </c>
      <c r="C1903" t="s">
        <v>7</v>
      </c>
      <c r="D1903" t="str">
        <f t="shared" si="75"/>
        <v>563668</v>
      </c>
      <c r="E1903" t="s">
        <v>2044</v>
      </c>
      <c r="F1903" t="s">
        <v>11</v>
      </c>
    </row>
    <row r="1904" spans="1:6" x14ac:dyDescent="0.25">
      <c r="A1904" t="str">
        <f>"25401874"</f>
        <v>25401874</v>
      </c>
      <c r="B1904" t="s">
        <v>2050</v>
      </c>
      <c r="C1904" t="s">
        <v>124</v>
      </c>
      <c r="D1904" t="str">
        <f t="shared" si="75"/>
        <v>563668</v>
      </c>
      <c r="E1904" t="s">
        <v>2044</v>
      </c>
      <c r="F1904" t="s">
        <v>11</v>
      </c>
    </row>
    <row r="1905" spans="1:6" x14ac:dyDescent="0.25">
      <c r="A1905" t="str">
        <f>"19380127"</f>
        <v>19380127</v>
      </c>
      <c r="B1905" t="s">
        <v>2051</v>
      </c>
      <c r="C1905" t="s">
        <v>7</v>
      </c>
      <c r="D1905" t="str">
        <f t="shared" si="75"/>
        <v>563668</v>
      </c>
      <c r="E1905" t="s">
        <v>2044</v>
      </c>
      <c r="F1905" t="s">
        <v>11</v>
      </c>
    </row>
    <row r="1906" spans="1:6" x14ac:dyDescent="0.25">
      <c r="A1906" t="str">
        <f>"09713590"</f>
        <v>09713590</v>
      </c>
      <c r="B1906" t="s">
        <v>2052</v>
      </c>
      <c r="C1906" t="s">
        <v>7</v>
      </c>
      <c r="D1906" t="str">
        <f t="shared" si="75"/>
        <v>563668</v>
      </c>
      <c r="E1906" t="s">
        <v>2044</v>
      </c>
      <c r="F1906" t="s">
        <v>18</v>
      </c>
    </row>
    <row r="1907" spans="1:6" x14ac:dyDescent="0.25">
      <c r="A1907" t="str">
        <f>"60254548"</f>
        <v>60254548</v>
      </c>
      <c r="B1907" t="s">
        <v>2053</v>
      </c>
      <c r="C1907" t="s">
        <v>43</v>
      </c>
      <c r="D1907" t="str">
        <f t="shared" si="75"/>
        <v>563668</v>
      </c>
      <c r="E1907" t="s">
        <v>2044</v>
      </c>
      <c r="F1907" t="s">
        <v>44</v>
      </c>
    </row>
    <row r="1908" spans="1:6" x14ac:dyDescent="0.25">
      <c r="A1908" t="str">
        <f>"60254530"</f>
        <v>60254530</v>
      </c>
      <c r="B1908" t="s">
        <v>2054</v>
      </c>
      <c r="C1908" t="s">
        <v>43</v>
      </c>
      <c r="D1908" t="str">
        <f t="shared" si="75"/>
        <v>563668</v>
      </c>
      <c r="E1908" t="s">
        <v>2044</v>
      </c>
      <c r="F1908" t="s">
        <v>44</v>
      </c>
    </row>
    <row r="1909" spans="1:6" x14ac:dyDescent="0.25">
      <c r="A1909" t="str">
        <f>"18381235"</f>
        <v>18381235</v>
      </c>
      <c r="B1909" t="s">
        <v>2055</v>
      </c>
      <c r="C1909" t="s">
        <v>43</v>
      </c>
      <c r="D1909" t="str">
        <f t="shared" si="75"/>
        <v>563668</v>
      </c>
      <c r="E1909" t="s">
        <v>2044</v>
      </c>
      <c r="F1909" t="s">
        <v>44</v>
      </c>
    </row>
    <row r="1910" spans="1:6" x14ac:dyDescent="0.25">
      <c r="A1910" t="str">
        <f>"60254947"</f>
        <v>60254947</v>
      </c>
      <c r="B1910" t="s">
        <v>2056</v>
      </c>
      <c r="C1910" t="s">
        <v>15</v>
      </c>
      <c r="D1910" t="str">
        <f t="shared" si="75"/>
        <v>563668</v>
      </c>
      <c r="E1910" t="s">
        <v>2044</v>
      </c>
      <c r="F1910" t="s">
        <v>16</v>
      </c>
    </row>
    <row r="1911" spans="1:6" x14ac:dyDescent="0.25">
      <c r="A1911" t="str">
        <f>"43256015"</f>
        <v>43256015</v>
      </c>
      <c r="B1911" t="s">
        <v>2057</v>
      </c>
      <c r="C1911" t="s">
        <v>15</v>
      </c>
      <c r="D1911" t="str">
        <f t="shared" si="75"/>
        <v>563668</v>
      </c>
      <c r="E1911" t="s">
        <v>2044</v>
      </c>
      <c r="F1911" t="s">
        <v>16</v>
      </c>
    </row>
    <row r="1912" spans="1:6" x14ac:dyDescent="0.25">
      <c r="A1912" t="str">
        <f>"22851852"</f>
        <v>22851852</v>
      </c>
      <c r="B1912" t="s">
        <v>2058</v>
      </c>
      <c r="C1912" t="s">
        <v>7</v>
      </c>
      <c r="D1912" t="str">
        <f t="shared" si="75"/>
        <v>563668</v>
      </c>
      <c r="E1912" t="s">
        <v>2044</v>
      </c>
      <c r="F1912" t="s">
        <v>11</v>
      </c>
    </row>
    <row r="1913" spans="1:6" x14ac:dyDescent="0.25">
      <c r="A1913" t="str">
        <f>"70815763"</f>
        <v>70815763</v>
      </c>
      <c r="B1913" t="s">
        <v>2059</v>
      </c>
      <c r="C1913" t="s">
        <v>7</v>
      </c>
      <c r="D1913" t="str">
        <f t="shared" si="75"/>
        <v>563668</v>
      </c>
      <c r="E1913" t="s">
        <v>2044</v>
      </c>
      <c r="F1913" t="s">
        <v>11</v>
      </c>
    </row>
    <row r="1914" spans="1:6" x14ac:dyDescent="0.25">
      <c r="A1914" t="str">
        <f>"22860797"</f>
        <v>22860797</v>
      </c>
      <c r="B1914" t="s">
        <v>2060</v>
      </c>
      <c r="C1914" t="s">
        <v>7</v>
      </c>
      <c r="D1914" t="str">
        <f t="shared" si="75"/>
        <v>563668</v>
      </c>
      <c r="E1914" t="s">
        <v>2044</v>
      </c>
      <c r="F1914" t="s">
        <v>11</v>
      </c>
    </row>
    <row r="1915" spans="1:6" x14ac:dyDescent="0.25">
      <c r="A1915" t="str">
        <f>"26608596"</f>
        <v>26608596</v>
      </c>
      <c r="B1915" t="s">
        <v>2061</v>
      </c>
      <c r="C1915" t="s">
        <v>7</v>
      </c>
      <c r="D1915" t="str">
        <f t="shared" si="75"/>
        <v>563668</v>
      </c>
      <c r="E1915" t="s">
        <v>2044</v>
      </c>
      <c r="F1915" t="s">
        <v>11</v>
      </c>
    </row>
    <row r="1916" spans="1:6" x14ac:dyDescent="0.25">
      <c r="A1916" t="str">
        <f>"14344238"</f>
        <v>14344238</v>
      </c>
      <c r="B1916" t="s">
        <v>2062</v>
      </c>
      <c r="C1916" t="s">
        <v>7</v>
      </c>
      <c r="D1916" t="str">
        <f t="shared" si="75"/>
        <v>563668</v>
      </c>
      <c r="E1916" t="s">
        <v>2044</v>
      </c>
      <c r="F1916" t="s">
        <v>29</v>
      </c>
    </row>
    <row r="1917" spans="1:6" x14ac:dyDescent="0.25">
      <c r="A1917" t="str">
        <f>"22754822"</f>
        <v>22754822</v>
      </c>
      <c r="B1917" t="s">
        <v>2063</v>
      </c>
      <c r="C1917" t="s">
        <v>7</v>
      </c>
      <c r="D1917" t="str">
        <f t="shared" si="75"/>
        <v>563668</v>
      </c>
      <c r="E1917" t="s">
        <v>2044</v>
      </c>
      <c r="F1917" t="s">
        <v>62</v>
      </c>
    </row>
    <row r="1918" spans="1:6" x14ac:dyDescent="0.25">
      <c r="A1918" t="str">
        <f>"22679481"</f>
        <v>22679481</v>
      </c>
      <c r="B1918" t="s">
        <v>2064</v>
      </c>
      <c r="C1918" t="s">
        <v>7</v>
      </c>
      <c r="D1918" t="str">
        <f t="shared" si="75"/>
        <v>563668</v>
      </c>
      <c r="E1918" t="s">
        <v>2044</v>
      </c>
      <c r="F1918" t="s">
        <v>35</v>
      </c>
    </row>
    <row r="1919" spans="1:6" x14ac:dyDescent="0.25">
      <c r="A1919" t="str">
        <f>"16389166"</f>
        <v>16389166</v>
      </c>
      <c r="B1919" t="s">
        <v>2065</v>
      </c>
      <c r="C1919" t="s">
        <v>7</v>
      </c>
      <c r="D1919" t="str">
        <f t="shared" si="75"/>
        <v>563668</v>
      </c>
      <c r="E1919" t="s">
        <v>2044</v>
      </c>
      <c r="F1919" t="s">
        <v>9</v>
      </c>
    </row>
    <row r="1920" spans="1:6" x14ac:dyDescent="0.25">
      <c r="A1920" t="str">
        <f>"41328311"</f>
        <v>41328311</v>
      </c>
      <c r="B1920" t="s">
        <v>2066</v>
      </c>
      <c r="C1920" t="s">
        <v>7</v>
      </c>
      <c r="D1920" t="str">
        <f t="shared" si="75"/>
        <v>563668</v>
      </c>
      <c r="E1920" t="s">
        <v>2044</v>
      </c>
      <c r="F1920" t="s">
        <v>9</v>
      </c>
    </row>
    <row r="1921" spans="1:6" x14ac:dyDescent="0.25">
      <c r="A1921" t="str">
        <f>"60254459"</f>
        <v>60254459</v>
      </c>
      <c r="B1921" t="s">
        <v>2067</v>
      </c>
      <c r="C1921" t="s">
        <v>7</v>
      </c>
      <c r="D1921" t="str">
        <f t="shared" si="75"/>
        <v>563668</v>
      </c>
      <c r="E1921" t="s">
        <v>2044</v>
      </c>
      <c r="F1921" t="s">
        <v>9</v>
      </c>
    </row>
    <row r="1922" spans="1:6" x14ac:dyDescent="0.25">
      <c r="A1922" t="str">
        <f>"13586114"</f>
        <v>13586114</v>
      </c>
      <c r="B1922" t="s">
        <v>2068</v>
      </c>
      <c r="C1922" t="s">
        <v>15</v>
      </c>
      <c r="D1922" t="str">
        <f t="shared" ref="D1922:D1932" si="76">"577235"</f>
        <v>577235</v>
      </c>
      <c r="E1922" t="s">
        <v>2069</v>
      </c>
      <c r="F1922" t="s">
        <v>29</v>
      </c>
    </row>
    <row r="1923" spans="1:6" x14ac:dyDescent="0.25">
      <c r="A1923" t="str">
        <f>"09732241"</f>
        <v>09732241</v>
      </c>
      <c r="B1923" t="s">
        <v>2070</v>
      </c>
      <c r="C1923" t="s">
        <v>20</v>
      </c>
      <c r="D1923" t="str">
        <f t="shared" si="76"/>
        <v>577235</v>
      </c>
      <c r="E1923" t="s">
        <v>2069</v>
      </c>
      <c r="F1923" t="s">
        <v>21</v>
      </c>
    </row>
    <row r="1924" spans="1:6" x14ac:dyDescent="0.25">
      <c r="A1924" t="str">
        <f>"45597782"</f>
        <v>45597782</v>
      </c>
      <c r="B1924" t="s">
        <v>2071</v>
      </c>
      <c r="C1924" t="s">
        <v>7</v>
      </c>
      <c r="D1924" t="str">
        <f t="shared" si="76"/>
        <v>577235</v>
      </c>
      <c r="E1924" t="s">
        <v>2069</v>
      </c>
      <c r="F1924" t="s">
        <v>65</v>
      </c>
    </row>
    <row r="1925" spans="1:6" x14ac:dyDescent="0.25">
      <c r="A1925" t="str">
        <f>"49294849"</f>
        <v>49294849</v>
      </c>
      <c r="B1925" t="s">
        <v>2072</v>
      </c>
      <c r="C1925" t="s">
        <v>37</v>
      </c>
      <c r="D1925" t="str">
        <f t="shared" si="76"/>
        <v>577235</v>
      </c>
      <c r="E1925" t="s">
        <v>2069</v>
      </c>
      <c r="F1925" t="s">
        <v>38</v>
      </c>
    </row>
    <row r="1926" spans="1:6" x14ac:dyDescent="0.25">
      <c r="A1926" t="str">
        <f>"45598011"</f>
        <v>45598011</v>
      </c>
      <c r="B1926" t="s">
        <v>2073</v>
      </c>
      <c r="C1926" t="s">
        <v>7</v>
      </c>
      <c r="D1926" t="str">
        <f t="shared" si="76"/>
        <v>577235</v>
      </c>
      <c r="E1926" t="s">
        <v>2069</v>
      </c>
      <c r="F1926" t="s">
        <v>38</v>
      </c>
    </row>
    <row r="1927" spans="1:6" x14ac:dyDescent="0.25">
      <c r="A1927" t="str">
        <f>"86771302"</f>
        <v>86771302</v>
      </c>
      <c r="B1927" t="s">
        <v>2074</v>
      </c>
      <c r="C1927" t="s">
        <v>15</v>
      </c>
      <c r="D1927" t="str">
        <f t="shared" si="76"/>
        <v>577235</v>
      </c>
      <c r="E1927" t="s">
        <v>2069</v>
      </c>
      <c r="F1927" t="s">
        <v>11</v>
      </c>
    </row>
    <row r="1928" spans="1:6" x14ac:dyDescent="0.25">
      <c r="A1928" t="str">
        <f>"62013521"</f>
        <v>62013521</v>
      </c>
      <c r="B1928" t="s">
        <v>2075</v>
      </c>
      <c r="C1928" t="s">
        <v>15</v>
      </c>
      <c r="D1928" t="str">
        <f t="shared" si="76"/>
        <v>577235</v>
      </c>
      <c r="E1928" t="s">
        <v>2069</v>
      </c>
      <c r="F1928" t="s">
        <v>16</v>
      </c>
    </row>
    <row r="1929" spans="1:6" x14ac:dyDescent="0.25">
      <c r="A1929" t="str">
        <f>"62014129"</f>
        <v>62014129</v>
      </c>
      <c r="B1929" t="s">
        <v>2076</v>
      </c>
      <c r="C1929" t="s">
        <v>15</v>
      </c>
      <c r="D1929" t="str">
        <f t="shared" si="76"/>
        <v>577235</v>
      </c>
      <c r="E1929" t="s">
        <v>2069</v>
      </c>
      <c r="F1929" t="s">
        <v>16</v>
      </c>
    </row>
    <row r="1930" spans="1:6" x14ac:dyDescent="0.25">
      <c r="A1930" t="str">
        <f>"49295098"</f>
        <v>49295098</v>
      </c>
      <c r="B1930" t="s">
        <v>2077</v>
      </c>
      <c r="C1930" t="s">
        <v>15</v>
      </c>
      <c r="D1930" t="str">
        <f t="shared" si="76"/>
        <v>577235</v>
      </c>
      <c r="E1930" t="s">
        <v>2069</v>
      </c>
      <c r="F1930" t="s">
        <v>9</v>
      </c>
    </row>
    <row r="1931" spans="1:6" x14ac:dyDescent="0.25">
      <c r="A1931" t="str">
        <f>"45598142"</f>
        <v>45598142</v>
      </c>
      <c r="B1931" t="s">
        <v>2078</v>
      </c>
      <c r="C1931" t="s">
        <v>7</v>
      </c>
      <c r="D1931" t="str">
        <f t="shared" si="76"/>
        <v>577235</v>
      </c>
      <c r="E1931" t="s">
        <v>2069</v>
      </c>
      <c r="F1931" t="s">
        <v>65</v>
      </c>
    </row>
    <row r="1932" spans="1:6" x14ac:dyDescent="0.25">
      <c r="A1932" t="str">
        <f>"62015206"</f>
        <v>62015206</v>
      </c>
      <c r="B1932" t="s">
        <v>2079</v>
      </c>
      <c r="C1932" t="s">
        <v>15</v>
      </c>
      <c r="D1932" t="str">
        <f t="shared" si="76"/>
        <v>577235</v>
      </c>
      <c r="E1932" t="s">
        <v>2069</v>
      </c>
      <c r="F1932" t="s">
        <v>29</v>
      </c>
    </row>
    <row r="1933" spans="1:6" x14ac:dyDescent="0.25">
      <c r="A1933" t="str">
        <f>"48282642"</f>
        <v>48282642</v>
      </c>
      <c r="B1933" t="s">
        <v>2080</v>
      </c>
      <c r="C1933" t="s">
        <v>7</v>
      </c>
      <c r="D1933" t="str">
        <f>"561720"</f>
        <v>561720</v>
      </c>
      <c r="E1933" t="s">
        <v>2081</v>
      </c>
      <c r="F1933" t="s">
        <v>9</v>
      </c>
    </row>
    <row r="1934" spans="1:6" x14ac:dyDescent="0.25">
      <c r="A1934" t="str">
        <f>"75003139"</f>
        <v>75003139</v>
      </c>
      <c r="B1934" t="s">
        <v>2082</v>
      </c>
      <c r="C1934" t="s">
        <v>37</v>
      </c>
      <c r="D1934" t="str">
        <f>"561720"</f>
        <v>561720</v>
      </c>
      <c r="E1934" t="s">
        <v>2081</v>
      </c>
      <c r="F1934" t="s">
        <v>38</v>
      </c>
    </row>
    <row r="1935" spans="1:6" x14ac:dyDescent="0.25">
      <c r="A1935" t="str">
        <f>"46750924"</f>
        <v>46750924</v>
      </c>
      <c r="B1935" t="s">
        <v>2083</v>
      </c>
      <c r="C1935" t="s">
        <v>7</v>
      </c>
      <c r="D1935" t="str">
        <f>"561720"</f>
        <v>561720</v>
      </c>
      <c r="E1935" t="s">
        <v>2081</v>
      </c>
      <c r="F1935" t="s">
        <v>38</v>
      </c>
    </row>
    <row r="1936" spans="1:6" x14ac:dyDescent="0.25">
      <c r="A1936" t="str">
        <f>"14245370"</f>
        <v>14245370</v>
      </c>
      <c r="B1936" t="s">
        <v>2084</v>
      </c>
      <c r="C1936" t="s">
        <v>124</v>
      </c>
      <c r="D1936" t="str">
        <f>"561720"</f>
        <v>561720</v>
      </c>
      <c r="E1936" t="s">
        <v>2081</v>
      </c>
      <c r="F1936" t="s">
        <v>11</v>
      </c>
    </row>
    <row r="1937" spans="1:6" x14ac:dyDescent="0.25">
      <c r="A1937" t="str">
        <f>"27003213"</f>
        <v>27003213</v>
      </c>
      <c r="B1937" t="s">
        <v>2085</v>
      </c>
      <c r="C1937" t="s">
        <v>7</v>
      </c>
      <c r="D1937" t="str">
        <f t="shared" ref="D1937:D1945" si="77">"561738"</f>
        <v>561738</v>
      </c>
      <c r="E1937" t="s">
        <v>2086</v>
      </c>
      <c r="F1937" t="s">
        <v>11</v>
      </c>
    </row>
    <row r="1938" spans="1:6" x14ac:dyDescent="0.25">
      <c r="A1938" t="str">
        <f>"26601737"</f>
        <v>26601737</v>
      </c>
      <c r="B1938" t="s">
        <v>2087</v>
      </c>
      <c r="C1938" t="s">
        <v>7</v>
      </c>
      <c r="D1938" t="str">
        <f t="shared" si="77"/>
        <v>561738</v>
      </c>
      <c r="E1938" t="s">
        <v>2086</v>
      </c>
      <c r="F1938" t="s">
        <v>11</v>
      </c>
    </row>
    <row r="1939" spans="1:6" x14ac:dyDescent="0.25">
      <c r="A1939" t="str">
        <f>"01928708"</f>
        <v>01928708</v>
      </c>
      <c r="B1939" t="s">
        <v>2088</v>
      </c>
      <c r="C1939" t="s">
        <v>7</v>
      </c>
      <c r="D1939" t="str">
        <f t="shared" si="77"/>
        <v>561738</v>
      </c>
      <c r="E1939" t="s">
        <v>2086</v>
      </c>
      <c r="F1939" t="s">
        <v>38</v>
      </c>
    </row>
    <row r="1940" spans="1:6" x14ac:dyDescent="0.25">
      <c r="A1940" t="str">
        <f>"27059103"</f>
        <v>27059103</v>
      </c>
      <c r="B1940" t="s">
        <v>2089</v>
      </c>
      <c r="C1940" t="s">
        <v>7</v>
      </c>
      <c r="D1940" t="str">
        <f t="shared" si="77"/>
        <v>561738</v>
      </c>
      <c r="E1940" t="s">
        <v>2086</v>
      </c>
      <c r="F1940" t="s">
        <v>424</v>
      </c>
    </row>
    <row r="1941" spans="1:6" x14ac:dyDescent="0.25">
      <c r="A1941" t="str">
        <f>"22670645"</f>
        <v>22670645</v>
      </c>
      <c r="B1941" t="s">
        <v>2090</v>
      </c>
      <c r="C1941" t="s">
        <v>7</v>
      </c>
      <c r="D1941" t="str">
        <f t="shared" si="77"/>
        <v>561738</v>
      </c>
      <c r="E1941" t="s">
        <v>2086</v>
      </c>
      <c r="F1941" t="s">
        <v>11</v>
      </c>
    </row>
    <row r="1942" spans="1:6" x14ac:dyDescent="0.25">
      <c r="A1942" t="str">
        <f>"28553161"</f>
        <v>28553161</v>
      </c>
      <c r="B1942" t="s">
        <v>2091</v>
      </c>
      <c r="C1942" t="s">
        <v>7</v>
      </c>
      <c r="D1942" t="str">
        <f t="shared" si="77"/>
        <v>561738</v>
      </c>
      <c r="E1942" t="s">
        <v>2086</v>
      </c>
      <c r="F1942" t="s">
        <v>11</v>
      </c>
    </row>
    <row r="1943" spans="1:6" x14ac:dyDescent="0.25">
      <c r="A1943" t="str">
        <f>"63778670"</f>
        <v>63778670</v>
      </c>
      <c r="B1943" t="s">
        <v>2092</v>
      </c>
      <c r="C1943" t="s">
        <v>15</v>
      </c>
      <c r="D1943" t="str">
        <f t="shared" si="77"/>
        <v>561738</v>
      </c>
      <c r="E1943" t="s">
        <v>2086</v>
      </c>
      <c r="F1943" t="s">
        <v>16</v>
      </c>
    </row>
    <row r="1944" spans="1:6" x14ac:dyDescent="0.25">
      <c r="A1944" t="str">
        <f>"26608472"</f>
        <v>26608472</v>
      </c>
      <c r="B1944" t="s">
        <v>2093</v>
      </c>
      <c r="C1944" t="s">
        <v>7</v>
      </c>
      <c r="D1944" t="str">
        <f t="shared" si="77"/>
        <v>561738</v>
      </c>
      <c r="E1944" t="s">
        <v>2086</v>
      </c>
      <c r="F1944" t="s">
        <v>11</v>
      </c>
    </row>
    <row r="1945" spans="1:6" x14ac:dyDescent="0.25">
      <c r="A1945" t="str">
        <f>"08147426"</f>
        <v>08147426</v>
      </c>
      <c r="B1945" t="s">
        <v>2094</v>
      </c>
      <c r="C1945" t="s">
        <v>7</v>
      </c>
      <c r="D1945" t="str">
        <f t="shared" si="77"/>
        <v>561738</v>
      </c>
      <c r="E1945" t="s">
        <v>2086</v>
      </c>
      <c r="F1945" t="s">
        <v>11</v>
      </c>
    </row>
    <row r="1946" spans="1:6" x14ac:dyDescent="0.25">
      <c r="A1946" t="str">
        <f>"45599513"</f>
        <v>45599513</v>
      </c>
      <c r="B1946" t="s">
        <v>2095</v>
      </c>
      <c r="C1946" t="s">
        <v>7</v>
      </c>
      <c r="D1946" t="str">
        <f t="shared" ref="D1946:D1952" si="78">"577243"</f>
        <v>577243</v>
      </c>
      <c r="E1946" t="s">
        <v>2096</v>
      </c>
      <c r="F1946" t="s">
        <v>328</v>
      </c>
    </row>
    <row r="1947" spans="1:6" x14ac:dyDescent="0.25">
      <c r="A1947" t="str">
        <f>"03914241"</f>
        <v>03914241</v>
      </c>
      <c r="B1947" t="s">
        <v>2097</v>
      </c>
      <c r="C1947" t="s">
        <v>7</v>
      </c>
      <c r="D1947" t="str">
        <f t="shared" si="78"/>
        <v>577243</v>
      </c>
      <c r="E1947" t="s">
        <v>2096</v>
      </c>
      <c r="F1947" t="s">
        <v>38</v>
      </c>
    </row>
    <row r="1948" spans="1:6" x14ac:dyDescent="0.25">
      <c r="A1948" t="str">
        <f>"62013360"</f>
        <v>62013360</v>
      </c>
      <c r="B1948" t="s">
        <v>2098</v>
      </c>
      <c r="C1948" t="s">
        <v>15</v>
      </c>
      <c r="D1948" t="str">
        <f t="shared" si="78"/>
        <v>577243</v>
      </c>
      <c r="E1948" t="s">
        <v>2096</v>
      </c>
      <c r="F1948" t="s">
        <v>16</v>
      </c>
    </row>
    <row r="1949" spans="1:6" x14ac:dyDescent="0.25">
      <c r="A1949" t="str">
        <f>"02057760"</f>
        <v>02057760</v>
      </c>
      <c r="B1949" t="s">
        <v>2099</v>
      </c>
      <c r="C1949" t="s">
        <v>7</v>
      </c>
      <c r="D1949" t="str">
        <f t="shared" si="78"/>
        <v>577243</v>
      </c>
      <c r="E1949" t="s">
        <v>2096</v>
      </c>
      <c r="F1949" t="s">
        <v>11</v>
      </c>
    </row>
    <row r="1950" spans="1:6" x14ac:dyDescent="0.25">
      <c r="A1950" t="str">
        <f>"75001632"</f>
        <v>75001632</v>
      </c>
      <c r="B1950" t="s">
        <v>2100</v>
      </c>
      <c r="C1950" t="s">
        <v>15</v>
      </c>
      <c r="D1950" t="str">
        <f t="shared" si="78"/>
        <v>577243</v>
      </c>
      <c r="E1950" t="s">
        <v>2096</v>
      </c>
      <c r="F1950" t="s">
        <v>11</v>
      </c>
    </row>
    <row r="1951" spans="1:6" x14ac:dyDescent="0.25">
      <c r="A1951" t="str">
        <f>"49296019"</f>
        <v>49296019</v>
      </c>
      <c r="B1951" t="s">
        <v>2101</v>
      </c>
      <c r="C1951" t="s">
        <v>15</v>
      </c>
      <c r="D1951" t="str">
        <f t="shared" si="78"/>
        <v>577243</v>
      </c>
      <c r="E1951" t="s">
        <v>2096</v>
      </c>
      <c r="F1951" t="s">
        <v>9</v>
      </c>
    </row>
    <row r="1952" spans="1:6" x14ac:dyDescent="0.25">
      <c r="A1952" t="str">
        <f>"45598118"</f>
        <v>45598118</v>
      </c>
      <c r="B1952" t="s">
        <v>2102</v>
      </c>
      <c r="C1952" t="s">
        <v>7</v>
      </c>
      <c r="D1952" t="str">
        <f t="shared" si="78"/>
        <v>577243</v>
      </c>
      <c r="E1952" t="s">
        <v>2096</v>
      </c>
      <c r="F1952" t="s">
        <v>35</v>
      </c>
    </row>
    <row r="1953" spans="1:6" x14ac:dyDescent="0.25">
      <c r="A1953" t="str">
        <f>"46749977"</f>
        <v>46749977</v>
      </c>
      <c r="B1953" t="s">
        <v>2103</v>
      </c>
      <c r="C1953" t="s">
        <v>7</v>
      </c>
      <c r="D1953" t="str">
        <f t="shared" ref="D1953:D1963" si="79">"564176"</f>
        <v>564176</v>
      </c>
      <c r="E1953" t="s">
        <v>2104</v>
      </c>
      <c r="F1953" t="s">
        <v>9</v>
      </c>
    </row>
    <row r="1954" spans="1:6" x14ac:dyDescent="0.25">
      <c r="A1954" t="str">
        <f>"21755515"</f>
        <v>21755515</v>
      </c>
      <c r="B1954" t="s">
        <v>2105</v>
      </c>
      <c r="C1954" t="s">
        <v>7</v>
      </c>
      <c r="D1954" t="str">
        <f t="shared" si="79"/>
        <v>564176</v>
      </c>
      <c r="E1954" t="s">
        <v>2104</v>
      </c>
      <c r="F1954" t="s">
        <v>11</v>
      </c>
    </row>
    <row r="1955" spans="1:6" x14ac:dyDescent="0.25">
      <c r="A1955" t="str">
        <f>"72031051"</f>
        <v>72031051</v>
      </c>
      <c r="B1955" t="s">
        <v>2106</v>
      </c>
      <c r="C1955" t="s">
        <v>7</v>
      </c>
      <c r="D1955" t="str">
        <f t="shared" si="79"/>
        <v>564176</v>
      </c>
      <c r="E1955" t="s">
        <v>2104</v>
      </c>
      <c r="F1955" t="s">
        <v>38</v>
      </c>
    </row>
    <row r="1956" spans="1:6" x14ac:dyDescent="0.25">
      <c r="A1956" t="str">
        <f>"46745769"</f>
        <v>46745769</v>
      </c>
      <c r="B1956" t="s">
        <v>2107</v>
      </c>
      <c r="C1956" t="s">
        <v>7</v>
      </c>
      <c r="D1956" t="str">
        <f t="shared" si="79"/>
        <v>564176</v>
      </c>
      <c r="E1956" t="s">
        <v>2104</v>
      </c>
      <c r="F1956" t="s">
        <v>38</v>
      </c>
    </row>
    <row r="1957" spans="1:6" x14ac:dyDescent="0.25">
      <c r="A1957" t="str">
        <f>"04513401"</f>
        <v>04513401</v>
      </c>
      <c r="B1957" t="s">
        <v>2108</v>
      </c>
      <c r="C1957" t="s">
        <v>124</v>
      </c>
      <c r="D1957" t="str">
        <f t="shared" si="79"/>
        <v>564176</v>
      </c>
      <c r="E1957" t="s">
        <v>2104</v>
      </c>
      <c r="F1957" t="s">
        <v>11</v>
      </c>
    </row>
    <row r="1958" spans="1:6" x14ac:dyDescent="0.25">
      <c r="A1958" t="str">
        <f>"26581612"</f>
        <v>26581612</v>
      </c>
      <c r="B1958" t="s">
        <v>2109</v>
      </c>
      <c r="C1958" t="s">
        <v>7</v>
      </c>
      <c r="D1958" t="str">
        <f t="shared" si="79"/>
        <v>564176</v>
      </c>
      <c r="E1958" t="s">
        <v>2104</v>
      </c>
      <c r="F1958" t="s">
        <v>11</v>
      </c>
    </row>
    <row r="1959" spans="1:6" x14ac:dyDescent="0.25">
      <c r="A1959" t="str">
        <f>"68298609"</f>
        <v>68298609</v>
      </c>
      <c r="B1959" t="s">
        <v>2110</v>
      </c>
      <c r="C1959" t="s">
        <v>7</v>
      </c>
      <c r="D1959" t="str">
        <f t="shared" si="79"/>
        <v>564176</v>
      </c>
      <c r="E1959" t="s">
        <v>2104</v>
      </c>
      <c r="F1959" t="s">
        <v>11</v>
      </c>
    </row>
    <row r="1960" spans="1:6" x14ac:dyDescent="0.25">
      <c r="A1960" t="str">
        <f>"46749446"</f>
        <v>46749446</v>
      </c>
      <c r="B1960" t="s">
        <v>2111</v>
      </c>
      <c r="C1960" t="s">
        <v>43</v>
      </c>
      <c r="D1960" t="str">
        <f t="shared" si="79"/>
        <v>564176</v>
      </c>
      <c r="E1960" t="s">
        <v>2104</v>
      </c>
      <c r="F1960" t="s">
        <v>44</v>
      </c>
    </row>
    <row r="1961" spans="1:6" x14ac:dyDescent="0.25">
      <c r="A1961" t="str">
        <f>"64039358"</f>
        <v>64039358</v>
      </c>
      <c r="B1961" t="s">
        <v>2112</v>
      </c>
      <c r="C1961" t="s">
        <v>15</v>
      </c>
      <c r="D1961" t="str">
        <f t="shared" si="79"/>
        <v>564176</v>
      </c>
      <c r="E1961" t="s">
        <v>2104</v>
      </c>
      <c r="F1961" t="s">
        <v>16</v>
      </c>
    </row>
    <row r="1962" spans="1:6" x14ac:dyDescent="0.25">
      <c r="A1962" t="str">
        <f>"46747656"</f>
        <v>46747656</v>
      </c>
      <c r="B1962" t="s">
        <v>2113</v>
      </c>
      <c r="C1962" t="s">
        <v>7</v>
      </c>
      <c r="D1962" t="str">
        <f t="shared" si="79"/>
        <v>564176</v>
      </c>
      <c r="E1962" t="s">
        <v>2104</v>
      </c>
      <c r="F1962" t="s">
        <v>9</v>
      </c>
    </row>
    <row r="1963" spans="1:6" x14ac:dyDescent="0.25">
      <c r="A1963" t="str">
        <f>"03281787"</f>
        <v>03281787</v>
      </c>
      <c r="B1963" t="s">
        <v>2114</v>
      </c>
      <c r="C1963" t="s">
        <v>27</v>
      </c>
      <c r="D1963" t="str">
        <f t="shared" si="79"/>
        <v>564176</v>
      </c>
      <c r="E1963" t="s">
        <v>2104</v>
      </c>
      <c r="F1963" t="s">
        <v>2115</v>
      </c>
    </row>
    <row r="1964" spans="1:6" x14ac:dyDescent="0.25">
      <c r="A1964" t="str">
        <f>"02391660"</f>
        <v>02391660</v>
      </c>
      <c r="B1964" t="s">
        <v>2116</v>
      </c>
      <c r="C1964" t="s">
        <v>7</v>
      </c>
      <c r="D1964" t="str">
        <f t="shared" ref="D1964:D1970" si="80">"564168"</f>
        <v>564168</v>
      </c>
      <c r="E1964" t="s">
        <v>2117</v>
      </c>
      <c r="F1964" t="s">
        <v>11</v>
      </c>
    </row>
    <row r="1965" spans="1:6" x14ac:dyDescent="0.25">
      <c r="A1965" t="str">
        <f>"22771107"</f>
        <v>22771107</v>
      </c>
      <c r="B1965" t="s">
        <v>2118</v>
      </c>
      <c r="C1965" t="s">
        <v>7</v>
      </c>
      <c r="D1965" t="str">
        <f t="shared" si="80"/>
        <v>564168</v>
      </c>
      <c r="E1965" t="s">
        <v>2117</v>
      </c>
      <c r="F1965" t="s">
        <v>62</v>
      </c>
    </row>
    <row r="1966" spans="1:6" x14ac:dyDescent="0.25">
      <c r="A1966" t="str">
        <f>"46746471"</f>
        <v>46746471</v>
      </c>
      <c r="B1966" t="s">
        <v>2119</v>
      </c>
      <c r="C1966" t="s">
        <v>7</v>
      </c>
      <c r="D1966" t="str">
        <f t="shared" si="80"/>
        <v>564168</v>
      </c>
      <c r="E1966" t="s">
        <v>2117</v>
      </c>
      <c r="F1966" t="s">
        <v>9</v>
      </c>
    </row>
    <row r="1967" spans="1:6" x14ac:dyDescent="0.25">
      <c r="A1967" t="str">
        <f>"75121522"</f>
        <v>75121522</v>
      </c>
      <c r="B1967" t="s">
        <v>2120</v>
      </c>
      <c r="C1967" t="s">
        <v>37</v>
      </c>
      <c r="D1967" t="str">
        <f t="shared" si="80"/>
        <v>564168</v>
      </c>
      <c r="E1967" t="s">
        <v>2117</v>
      </c>
      <c r="F1967" t="s">
        <v>38</v>
      </c>
    </row>
    <row r="1968" spans="1:6" x14ac:dyDescent="0.25">
      <c r="A1968" t="str">
        <f>"46745963"</f>
        <v>46745963</v>
      </c>
      <c r="B1968" t="s">
        <v>2121</v>
      </c>
      <c r="C1968" t="s">
        <v>7</v>
      </c>
      <c r="D1968" t="str">
        <f t="shared" si="80"/>
        <v>564168</v>
      </c>
      <c r="E1968" t="s">
        <v>2117</v>
      </c>
      <c r="F1968" t="s">
        <v>38</v>
      </c>
    </row>
    <row r="1969" spans="1:6" x14ac:dyDescent="0.25">
      <c r="A1969" t="str">
        <f>"27022358"</f>
        <v>27022358</v>
      </c>
      <c r="B1969" t="s">
        <v>2122</v>
      </c>
      <c r="C1969" t="s">
        <v>7</v>
      </c>
      <c r="D1969" t="str">
        <f t="shared" si="80"/>
        <v>564168</v>
      </c>
      <c r="E1969" t="s">
        <v>2117</v>
      </c>
      <c r="F1969" t="s">
        <v>35</v>
      </c>
    </row>
    <row r="1970" spans="1:6" x14ac:dyDescent="0.25">
      <c r="A1970" t="str">
        <f>"49111906"</f>
        <v>49111906</v>
      </c>
      <c r="B1970" t="s">
        <v>2123</v>
      </c>
      <c r="C1970" t="s">
        <v>15</v>
      </c>
      <c r="D1970" t="str">
        <f t="shared" si="80"/>
        <v>564168</v>
      </c>
      <c r="E1970" t="s">
        <v>2117</v>
      </c>
      <c r="F1970" t="s">
        <v>16</v>
      </c>
    </row>
    <row r="1971" spans="1:6" x14ac:dyDescent="0.25">
      <c r="A1971" t="str">
        <f>"22893385"</f>
        <v>22893385</v>
      </c>
      <c r="B1971" t="s">
        <v>2124</v>
      </c>
      <c r="C1971" t="s">
        <v>7</v>
      </c>
      <c r="D1971" t="str">
        <f>"547484"</f>
        <v>547484</v>
      </c>
      <c r="E1971" t="s">
        <v>2125</v>
      </c>
      <c r="F1971" t="s">
        <v>11</v>
      </c>
    </row>
    <row r="1972" spans="1:6" x14ac:dyDescent="0.25">
      <c r="A1972" t="str">
        <f>"62013505"</f>
        <v>62013505</v>
      </c>
      <c r="B1972" t="s">
        <v>2126</v>
      </c>
      <c r="C1972" t="s">
        <v>15</v>
      </c>
      <c r="D1972" t="str">
        <f>"547484"</f>
        <v>547484</v>
      </c>
      <c r="E1972" t="s">
        <v>2125</v>
      </c>
      <c r="F1972" t="s">
        <v>16</v>
      </c>
    </row>
    <row r="1973" spans="1:6" x14ac:dyDescent="0.25">
      <c r="A1973" t="str">
        <f>"46749764"</f>
        <v>46749764</v>
      </c>
      <c r="B1973" t="s">
        <v>2127</v>
      </c>
      <c r="C1973" t="s">
        <v>15</v>
      </c>
      <c r="D1973" t="str">
        <f t="shared" ref="D1973:D1980" si="81">"530433"</f>
        <v>530433</v>
      </c>
      <c r="E1973" t="s">
        <v>2128</v>
      </c>
      <c r="F1973" t="s">
        <v>29</v>
      </c>
    </row>
    <row r="1974" spans="1:6" x14ac:dyDescent="0.25">
      <c r="A1974" t="str">
        <f>"46745297"</f>
        <v>46745297</v>
      </c>
      <c r="B1974" t="s">
        <v>2129</v>
      </c>
      <c r="C1974" t="s">
        <v>37</v>
      </c>
      <c r="D1974" t="str">
        <f t="shared" si="81"/>
        <v>530433</v>
      </c>
      <c r="E1974" t="s">
        <v>2128</v>
      </c>
      <c r="F1974" t="s">
        <v>38</v>
      </c>
    </row>
    <row r="1975" spans="1:6" x14ac:dyDescent="0.25">
      <c r="A1975" t="str">
        <f>"19530722"</f>
        <v>19530722</v>
      </c>
      <c r="B1975" t="s">
        <v>2130</v>
      </c>
      <c r="C1975" t="s">
        <v>7</v>
      </c>
      <c r="D1975" t="str">
        <f t="shared" si="81"/>
        <v>530433</v>
      </c>
      <c r="E1975" t="s">
        <v>2128</v>
      </c>
      <c r="F1975" t="s">
        <v>11</v>
      </c>
    </row>
    <row r="1976" spans="1:6" x14ac:dyDescent="0.25">
      <c r="A1976" t="str">
        <f>"26539594"</f>
        <v>26539594</v>
      </c>
      <c r="B1976" t="s">
        <v>2131</v>
      </c>
      <c r="C1976" t="s">
        <v>7</v>
      </c>
      <c r="D1976" t="str">
        <f t="shared" si="81"/>
        <v>530433</v>
      </c>
      <c r="E1976" t="s">
        <v>2128</v>
      </c>
      <c r="F1976" t="s">
        <v>11</v>
      </c>
    </row>
    <row r="1977" spans="1:6" x14ac:dyDescent="0.25">
      <c r="A1977" t="str">
        <f>"19680104"</f>
        <v>19680104</v>
      </c>
      <c r="B1977" t="s">
        <v>2132</v>
      </c>
      <c r="C1977" t="s">
        <v>7</v>
      </c>
      <c r="D1977" t="str">
        <f t="shared" si="81"/>
        <v>530433</v>
      </c>
      <c r="E1977" t="s">
        <v>2128</v>
      </c>
      <c r="F1977" t="s">
        <v>62</v>
      </c>
    </row>
    <row r="1978" spans="1:6" x14ac:dyDescent="0.25">
      <c r="A1978" t="str">
        <f>"49111698"</f>
        <v>49111698</v>
      </c>
      <c r="B1978" t="s">
        <v>2133</v>
      </c>
      <c r="C1978" t="s">
        <v>15</v>
      </c>
      <c r="D1978" t="str">
        <f t="shared" si="81"/>
        <v>530433</v>
      </c>
      <c r="E1978" t="s">
        <v>2128</v>
      </c>
      <c r="F1978" t="s">
        <v>16</v>
      </c>
    </row>
    <row r="1979" spans="1:6" x14ac:dyDescent="0.25">
      <c r="A1979" t="str">
        <f>"02465400"</f>
        <v>02465400</v>
      </c>
      <c r="B1979" t="s">
        <v>2134</v>
      </c>
      <c r="C1979" t="s">
        <v>7</v>
      </c>
      <c r="D1979" t="str">
        <f t="shared" si="81"/>
        <v>530433</v>
      </c>
      <c r="E1979" t="s">
        <v>2128</v>
      </c>
      <c r="F1979" t="s">
        <v>9</v>
      </c>
    </row>
    <row r="1980" spans="1:6" x14ac:dyDescent="0.25">
      <c r="A1980" t="str">
        <f>"40229912"</f>
        <v>40229912</v>
      </c>
      <c r="B1980" t="s">
        <v>2135</v>
      </c>
      <c r="C1980" t="s">
        <v>7</v>
      </c>
      <c r="D1980" t="str">
        <f t="shared" si="81"/>
        <v>530433</v>
      </c>
      <c r="E1980" t="s">
        <v>2128</v>
      </c>
      <c r="F1980" t="s">
        <v>9</v>
      </c>
    </row>
    <row r="1981" spans="1:6" x14ac:dyDescent="0.25">
      <c r="A1981" t="str">
        <f>"19110995"</f>
        <v>19110995</v>
      </c>
      <c r="B1981" t="s">
        <v>2136</v>
      </c>
      <c r="C1981" t="s">
        <v>7</v>
      </c>
      <c r="D1981" t="str">
        <f t="shared" ref="D1981:D1989" si="82">"561746"</f>
        <v>561746</v>
      </c>
      <c r="E1981" t="s">
        <v>2137</v>
      </c>
      <c r="F1981" t="s">
        <v>11</v>
      </c>
    </row>
    <row r="1982" spans="1:6" x14ac:dyDescent="0.25">
      <c r="A1982" t="str">
        <f>"27011895"</f>
        <v>27011895</v>
      </c>
      <c r="B1982" t="s">
        <v>2138</v>
      </c>
      <c r="C1982" t="s">
        <v>78</v>
      </c>
      <c r="D1982" t="str">
        <f t="shared" si="82"/>
        <v>561746</v>
      </c>
      <c r="E1982" t="s">
        <v>2137</v>
      </c>
      <c r="F1982" t="s">
        <v>1096</v>
      </c>
    </row>
    <row r="1983" spans="1:6" x14ac:dyDescent="0.25">
      <c r="A1983" t="str">
        <f>"17050961"</f>
        <v>17050961</v>
      </c>
      <c r="B1983" t="s">
        <v>2139</v>
      </c>
      <c r="C1983" t="s">
        <v>7</v>
      </c>
      <c r="D1983" t="str">
        <f t="shared" si="82"/>
        <v>561746</v>
      </c>
      <c r="E1983" t="s">
        <v>2137</v>
      </c>
      <c r="F1983" t="s">
        <v>11</v>
      </c>
    </row>
    <row r="1984" spans="1:6" x14ac:dyDescent="0.25">
      <c r="A1984" t="str">
        <f>"01630989"</f>
        <v>01630989</v>
      </c>
      <c r="B1984" t="s">
        <v>2140</v>
      </c>
      <c r="C1984" t="s">
        <v>7</v>
      </c>
      <c r="D1984" t="str">
        <f t="shared" si="82"/>
        <v>561746</v>
      </c>
      <c r="E1984" t="s">
        <v>2137</v>
      </c>
      <c r="F1984" t="s">
        <v>11</v>
      </c>
    </row>
    <row r="1985" spans="1:6" x14ac:dyDescent="0.25">
      <c r="A1985" t="str">
        <f>"48282111"</f>
        <v>48282111</v>
      </c>
      <c r="B1985" t="s">
        <v>2141</v>
      </c>
      <c r="C1985" t="s">
        <v>7</v>
      </c>
      <c r="D1985" t="str">
        <f t="shared" si="82"/>
        <v>561746</v>
      </c>
      <c r="E1985" t="s">
        <v>2137</v>
      </c>
      <c r="F1985" t="s">
        <v>38</v>
      </c>
    </row>
    <row r="1986" spans="1:6" x14ac:dyDescent="0.25">
      <c r="A1986" t="str">
        <f>"65650441"</f>
        <v>65650441</v>
      </c>
      <c r="B1986" t="s">
        <v>2142</v>
      </c>
      <c r="C1986" t="s">
        <v>15</v>
      </c>
      <c r="D1986" t="str">
        <f t="shared" si="82"/>
        <v>561746</v>
      </c>
      <c r="E1986" t="s">
        <v>2137</v>
      </c>
      <c r="F1986" t="s">
        <v>16</v>
      </c>
    </row>
    <row r="1987" spans="1:6" x14ac:dyDescent="0.25">
      <c r="A1987" t="str">
        <f>"62237098"</f>
        <v>62237098</v>
      </c>
      <c r="B1987" t="s">
        <v>2143</v>
      </c>
      <c r="C1987" t="s">
        <v>7</v>
      </c>
      <c r="D1987" t="str">
        <f t="shared" si="82"/>
        <v>561746</v>
      </c>
      <c r="E1987" t="s">
        <v>2137</v>
      </c>
      <c r="F1987" t="s">
        <v>65</v>
      </c>
    </row>
    <row r="1988" spans="1:6" x14ac:dyDescent="0.25">
      <c r="A1988" t="str">
        <f>"69410437"</f>
        <v>69410437</v>
      </c>
      <c r="B1988" t="s">
        <v>2144</v>
      </c>
      <c r="C1988" t="s">
        <v>7</v>
      </c>
      <c r="D1988" t="str">
        <f t="shared" si="82"/>
        <v>561746</v>
      </c>
      <c r="E1988" t="s">
        <v>2137</v>
      </c>
      <c r="F1988" t="s">
        <v>18</v>
      </c>
    </row>
    <row r="1989" spans="1:6" x14ac:dyDescent="0.25">
      <c r="A1989" t="str">
        <f>"07024258"</f>
        <v>07024258</v>
      </c>
      <c r="B1989" t="s">
        <v>2145</v>
      </c>
      <c r="C1989" t="s">
        <v>7</v>
      </c>
      <c r="D1989" t="str">
        <f t="shared" si="82"/>
        <v>561746</v>
      </c>
      <c r="E1989" t="s">
        <v>2137</v>
      </c>
      <c r="F1989" t="s">
        <v>35</v>
      </c>
    </row>
    <row r="1990" spans="1:6" x14ac:dyDescent="0.25">
      <c r="A1990" t="str">
        <f>"02738180"</f>
        <v>02738180</v>
      </c>
      <c r="B1990" t="s">
        <v>2146</v>
      </c>
      <c r="C1990" t="s">
        <v>37</v>
      </c>
      <c r="D1990" t="str">
        <f>"546259"</f>
        <v>546259</v>
      </c>
      <c r="E1990" t="s">
        <v>2147</v>
      </c>
      <c r="F1990" t="s">
        <v>38</v>
      </c>
    </row>
    <row r="1991" spans="1:6" x14ac:dyDescent="0.25">
      <c r="A1991" t="str">
        <f>"26617285"</f>
        <v>26617285</v>
      </c>
      <c r="B1991" t="s">
        <v>2148</v>
      </c>
      <c r="C1991" t="s">
        <v>7</v>
      </c>
      <c r="D1991" t="str">
        <f>"546259"</f>
        <v>546259</v>
      </c>
      <c r="E1991" t="s">
        <v>2147</v>
      </c>
      <c r="F1991" t="s">
        <v>9</v>
      </c>
    </row>
    <row r="1992" spans="1:6" x14ac:dyDescent="0.25">
      <c r="A1992" t="str">
        <f>"22664602"</f>
        <v>22664602</v>
      </c>
      <c r="B1992" t="s">
        <v>2149</v>
      </c>
      <c r="C1992" t="s">
        <v>7</v>
      </c>
      <c r="D1992" t="str">
        <f>"546259"</f>
        <v>546259</v>
      </c>
      <c r="E1992" t="s">
        <v>2147</v>
      </c>
      <c r="F1992" t="s">
        <v>11</v>
      </c>
    </row>
    <row r="1993" spans="1:6" x14ac:dyDescent="0.25">
      <c r="A1993" t="str">
        <f>"08328323"</f>
        <v>08328323</v>
      </c>
      <c r="B1993" t="s">
        <v>2150</v>
      </c>
      <c r="C1993" t="s">
        <v>7</v>
      </c>
      <c r="D1993" t="str">
        <f>"546259"</f>
        <v>546259</v>
      </c>
      <c r="E1993" t="s">
        <v>2147</v>
      </c>
      <c r="F1993" t="s">
        <v>11</v>
      </c>
    </row>
    <row r="1994" spans="1:6" x14ac:dyDescent="0.25">
      <c r="A1994" t="str">
        <f>"75074257"</f>
        <v>75074257</v>
      </c>
      <c r="B1994" t="s">
        <v>2151</v>
      </c>
      <c r="C1994" t="s">
        <v>7</v>
      </c>
      <c r="D1994" t="str">
        <f>"546259"</f>
        <v>546259</v>
      </c>
      <c r="E1994" t="s">
        <v>2147</v>
      </c>
      <c r="F1994" t="s">
        <v>65</v>
      </c>
    </row>
    <row r="1995" spans="1:6" x14ac:dyDescent="0.25">
      <c r="A1995" t="str">
        <f>"22839771"</f>
        <v>22839771</v>
      </c>
      <c r="B1995" t="s">
        <v>2152</v>
      </c>
      <c r="C1995" t="s">
        <v>7</v>
      </c>
      <c r="D1995" t="str">
        <f t="shared" ref="D1995:D2014" si="83">"564184"</f>
        <v>564184</v>
      </c>
      <c r="E1995" t="s">
        <v>2153</v>
      </c>
      <c r="F1995" t="s">
        <v>11</v>
      </c>
    </row>
    <row r="1996" spans="1:6" x14ac:dyDescent="0.25">
      <c r="A1996" t="str">
        <f>"22716696"</f>
        <v>22716696</v>
      </c>
      <c r="B1996" t="s">
        <v>2154</v>
      </c>
      <c r="C1996" t="s">
        <v>15</v>
      </c>
      <c r="D1996" t="str">
        <f t="shared" si="83"/>
        <v>564184</v>
      </c>
      <c r="E1996" t="s">
        <v>2153</v>
      </c>
      <c r="F1996" t="s">
        <v>16</v>
      </c>
    </row>
    <row r="1997" spans="1:6" x14ac:dyDescent="0.25">
      <c r="A1997" t="str">
        <f>"70693471"</f>
        <v>70693471</v>
      </c>
      <c r="B1997" t="s">
        <v>2155</v>
      </c>
      <c r="C1997" t="s">
        <v>15</v>
      </c>
      <c r="D1997" t="str">
        <f t="shared" si="83"/>
        <v>564184</v>
      </c>
      <c r="E1997" t="s">
        <v>2153</v>
      </c>
      <c r="F1997" t="s">
        <v>29</v>
      </c>
    </row>
    <row r="1998" spans="1:6" x14ac:dyDescent="0.25">
      <c r="A1998" t="str">
        <f>"71166432"</f>
        <v>71166432</v>
      </c>
      <c r="B1998" t="s">
        <v>2156</v>
      </c>
      <c r="C1998" t="s">
        <v>37</v>
      </c>
      <c r="D1998" t="str">
        <f t="shared" si="83"/>
        <v>564184</v>
      </c>
      <c r="E1998" t="s">
        <v>2153</v>
      </c>
      <c r="F1998" t="s">
        <v>38</v>
      </c>
    </row>
    <row r="1999" spans="1:6" x14ac:dyDescent="0.25">
      <c r="A1999" t="str">
        <f>"71189467"</f>
        <v>71189467</v>
      </c>
      <c r="B1999" t="s">
        <v>2157</v>
      </c>
      <c r="C1999" t="s">
        <v>37</v>
      </c>
      <c r="D1999" t="str">
        <f t="shared" si="83"/>
        <v>564184</v>
      </c>
      <c r="E1999" t="s">
        <v>2153</v>
      </c>
      <c r="F1999" t="s">
        <v>38</v>
      </c>
    </row>
    <row r="2000" spans="1:6" x14ac:dyDescent="0.25">
      <c r="A2000" t="str">
        <f>"26618338"</f>
        <v>26618338</v>
      </c>
      <c r="B2000" t="s">
        <v>2158</v>
      </c>
      <c r="C2000" t="s">
        <v>7</v>
      </c>
      <c r="D2000" t="str">
        <f t="shared" si="83"/>
        <v>564184</v>
      </c>
      <c r="E2000" t="s">
        <v>2153</v>
      </c>
      <c r="F2000" t="s">
        <v>11</v>
      </c>
    </row>
    <row r="2001" spans="1:6" x14ac:dyDescent="0.25">
      <c r="A2001" t="str">
        <f>"46747320"</f>
        <v>46747320</v>
      </c>
      <c r="B2001" t="s">
        <v>2159</v>
      </c>
      <c r="C2001" t="s">
        <v>7</v>
      </c>
      <c r="D2001" t="str">
        <f t="shared" si="83"/>
        <v>564184</v>
      </c>
      <c r="E2001" t="s">
        <v>2153</v>
      </c>
      <c r="F2001" t="s">
        <v>38</v>
      </c>
    </row>
    <row r="2002" spans="1:6" x14ac:dyDescent="0.25">
      <c r="A2002" t="str">
        <f>"46746064"</f>
        <v>46746064</v>
      </c>
      <c r="B2002" t="s">
        <v>2160</v>
      </c>
      <c r="C2002" t="s">
        <v>7</v>
      </c>
      <c r="D2002" t="str">
        <f t="shared" si="83"/>
        <v>564184</v>
      </c>
      <c r="E2002" t="s">
        <v>2153</v>
      </c>
      <c r="F2002" t="s">
        <v>38</v>
      </c>
    </row>
    <row r="2003" spans="1:6" x14ac:dyDescent="0.25">
      <c r="A2003" t="str">
        <f>"01759779"</f>
        <v>01759779</v>
      </c>
      <c r="B2003" t="s">
        <v>2161</v>
      </c>
      <c r="C2003" t="s">
        <v>7</v>
      </c>
      <c r="D2003" t="str">
        <f t="shared" si="83"/>
        <v>564184</v>
      </c>
      <c r="E2003" t="s">
        <v>2153</v>
      </c>
      <c r="F2003" t="s">
        <v>11</v>
      </c>
    </row>
    <row r="2004" spans="1:6" x14ac:dyDescent="0.25">
      <c r="A2004" t="str">
        <f>"22667261"</f>
        <v>22667261</v>
      </c>
      <c r="B2004" t="s">
        <v>2162</v>
      </c>
      <c r="C2004" t="s">
        <v>7</v>
      </c>
      <c r="D2004" t="str">
        <f t="shared" si="83"/>
        <v>564184</v>
      </c>
      <c r="E2004" t="s">
        <v>2153</v>
      </c>
      <c r="F2004" t="s">
        <v>11</v>
      </c>
    </row>
    <row r="2005" spans="1:6" x14ac:dyDescent="0.25">
      <c r="A2005" t="str">
        <f>"03829669"</f>
        <v>03829669</v>
      </c>
      <c r="B2005" t="s">
        <v>2163</v>
      </c>
      <c r="C2005" t="s">
        <v>7</v>
      </c>
      <c r="D2005" t="str">
        <f t="shared" si="83"/>
        <v>564184</v>
      </c>
      <c r="E2005" t="s">
        <v>2153</v>
      </c>
      <c r="F2005" t="s">
        <v>11</v>
      </c>
    </row>
    <row r="2006" spans="1:6" x14ac:dyDescent="0.25">
      <c r="A2006" t="str">
        <f>"26648393"</f>
        <v>26648393</v>
      </c>
      <c r="B2006" t="s">
        <v>2164</v>
      </c>
      <c r="C2006" t="s">
        <v>7</v>
      </c>
      <c r="D2006" t="str">
        <f t="shared" si="83"/>
        <v>564184</v>
      </c>
      <c r="E2006" t="s">
        <v>2153</v>
      </c>
      <c r="F2006" t="s">
        <v>2165</v>
      </c>
    </row>
    <row r="2007" spans="1:6" x14ac:dyDescent="0.25">
      <c r="A2007" t="str">
        <f>"27004333"</f>
        <v>27004333</v>
      </c>
      <c r="B2007" t="s">
        <v>2166</v>
      </c>
      <c r="C2007" t="s">
        <v>7</v>
      </c>
      <c r="D2007" t="str">
        <f t="shared" si="83"/>
        <v>564184</v>
      </c>
      <c r="E2007" t="s">
        <v>2153</v>
      </c>
      <c r="F2007" t="s">
        <v>11</v>
      </c>
    </row>
    <row r="2008" spans="1:6" x14ac:dyDescent="0.25">
      <c r="A2008" t="str">
        <f>"26649063"</f>
        <v>26649063</v>
      </c>
      <c r="B2008" t="s">
        <v>2167</v>
      </c>
      <c r="C2008" t="s">
        <v>7</v>
      </c>
      <c r="D2008" t="str">
        <f t="shared" si="83"/>
        <v>564184</v>
      </c>
      <c r="E2008" t="s">
        <v>2153</v>
      </c>
      <c r="F2008" t="s">
        <v>9</v>
      </c>
    </row>
    <row r="2009" spans="1:6" x14ac:dyDescent="0.25">
      <c r="A2009" t="str">
        <f>"49112015"</f>
        <v>49112015</v>
      </c>
      <c r="B2009" t="s">
        <v>2168</v>
      </c>
      <c r="C2009" t="s">
        <v>15</v>
      </c>
      <c r="D2009" t="str">
        <f t="shared" si="83"/>
        <v>564184</v>
      </c>
      <c r="E2009" t="s">
        <v>2153</v>
      </c>
      <c r="F2009" t="s">
        <v>16</v>
      </c>
    </row>
    <row r="2010" spans="1:6" x14ac:dyDescent="0.25">
      <c r="A2010" t="str">
        <f>"27033023"</f>
        <v>27033023</v>
      </c>
      <c r="B2010" t="s">
        <v>2169</v>
      </c>
      <c r="C2010" t="s">
        <v>7</v>
      </c>
      <c r="D2010" t="str">
        <f t="shared" si="83"/>
        <v>564184</v>
      </c>
      <c r="E2010" t="s">
        <v>2153</v>
      </c>
      <c r="F2010" t="s">
        <v>9</v>
      </c>
    </row>
    <row r="2011" spans="1:6" x14ac:dyDescent="0.25">
      <c r="A2011" t="str">
        <f>"10779841"</f>
        <v>10779841</v>
      </c>
      <c r="B2011" t="s">
        <v>2170</v>
      </c>
      <c r="C2011" t="s">
        <v>7</v>
      </c>
      <c r="D2011" t="str">
        <f t="shared" si="83"/>
        <v>564184</v>
      </c>
      <c r="E2011" t="s">
        <v>2153</v>
      </c>
      <c r="F2011" t="s">
        <v>11</v>
      </c>
    </row>
    <row r="2012" spans="1:6" x14ac:dyDescent="0.25">
      <c r="A2012" t="str">
        <f>"46744703"</f>
        <v>46744703</v>
      </c>
      <c r="B2012" t="s">
        <v>2171</v>
      </c>
      <c r="C2012" t="s">
        <v>7</v>
      </c>
      <c r="D2012" t="str">
        <f t="shared" si="83"/>
        <v>564184</v>
      </c>
      <c r="E2012" t="s">
        <v>2153</v>
      </c>
      <c r="F2012" t="s">
        <v>9</v>
      </c>
    </row>
    <row r="2013" spans="1:6" x14ac:dyDescent="0.25">
      <c r="A2013" t="str">
        <f>"19478747"</f>
        <v>19478747</v>
      </c>
      <c r="B2013" t="s">
        <v>2172</v>
      </c>
      <c r="C2013" t="s">
        <v>7</v>
      </c>
      <c r="D2013" t="str">
        <f t="shared" si="83"/>
        <v>564184</v>
      </c>
      <c r="E2013" t="s">
        <v>2153</v>
      </c>
      <c r="F2013" t="s">
        <v>11</v>
      </c>
    </row>
    <row r="2014" spans="1:6" x14ac:dyDescent="0.25">
      <c r="A2014" t="str">
        <f>"17343283"</f>
        <v>17343283</v>
      </c>
      <c r="B2014" t="s">
        <v>2173</v>
      </c>
      <c r="C2014" t="s">
        <v>7</v>
      </c>
      <c r="D2014" t="str">
        <f t="shared" si="83"/>
        <v>564184</v>
      </c>
      <c r="E2014" t="s">
        <v>2153</v>
      </c>
      <c r="F2014" t="s">
        <v>13</v>
      </c>
    </row>
    <row r="2015" spans="1:6" x14ac:dyDescent="0.25">
      <c r="A2015" t="str">
        <f>"02315068"</f>
        <v>02315068</v>
      </c>
      <c r="B2015" t="s">
        <v>2174</v>
      </c>
      <c r="C2015" t="s">
        <v>7</v>
      </c>
      <c r="D2015" t="str">
        <f>"545937"</f>
        <v>545937</v>
      </c>
      <c r="E2015" t="s">
        <v>2175</v>
      </c>
      <c r="F2015" t="s">
        <v>35</v>
      </c>
    </row>
    <row r="2016" spans="1:6" x14ac:dyDescent="0.25">
      <c r="A2016" t="str">
        <f>"64039099"</f>
        <v>64039099</v>
      </c>
      <c r="B2016" t="s">
        <v>2176</v>
      </c>
      <c r="C2016" t="s">
        <v>15</v>
      </c>
      <c r="D2016" t="str">
        <f>"545937"</f>
        <v>545937</v>
      </c>
      <c r="E2016" t="s">
        <v>2175</v>
      </c>
      <c r="F2016" t="s">
        <v>16</v>
      </c>
    </row>
    <row r="2017" spans="1:6" x14ac:dyDescent="0.25">
      <c r="A2017" t="str">
        <f>"71182519"</f>
        <v>71182519</v>
      </c>
      <c r="B2017" t="s">
        <v>2177</v>
      </c>
      <c r="C2017" t="s">
        <v>37</v>
      </c>
      <c r="D2017" t="str">
        <f t="shared" ref="D2017:D2023" si="84">"577375"</f>
        <v>577375</v>
      </c>
      <c r="E2017" t="s">
        <v>2178</v>
      </c>
      <c r="F2017" t="s">
        <v>38</v>
      </c>
    </row>
    <row r="2018" spans="1:6" x14ac:dyDescent="0.25">
      <c r="A2018" t="str">
        <f>"47474696"</f>
        <v>47474696</v>
      </c>
      <c r="B2018" t="s">
        <v>2179</v>
      </c>
      <c r="C2018" t="s">
        <v>37</v>
      </c>
      <c r="D2018" t="str">
        <f t="shared" si="84"/>
        <v>577375</v>
      </c>
      <c r="E2018" t="s">
        <v>2178</v>
      </c>
      <c r="F2018" t="s">
        <v>38</v>
      </c>
    </row>
    <row r="2019" spans="1:6" x14ac:dyDescent="0.25">
      <c r="A2019" t="str">
        <f>"26623650"</f>
        <v>26623650</v>
      </c>
      <c r="B2019" t="s">
        <v>2180</v>
      </c>
      <c r="C2019" t="s">
        <v>7</v>
      </c>
      <c r="D2019" t="str">
        <f t="shared" si="84"/>
        <v>577375</v>
      </c>
      <c r="E2019" t="s">
        <v>2178</v>
      </c>
      <c r="F2019" t="s">
        <v>38</v>
      </c>
    </row>
    <row r="2020" spans="1:6" x14ac:dyDescent="0.25">
      <c r="A2020" t="str">
        <f>"22753036"</f>
        <v>22753036</v>
      </c>
      <c r="B2020" t="s">
        <v>2181</v>
      </c>
      <c r="C2020" t="s">
        <v>7</v>
      </c>
      <c r="D2020" t="str">
        <f t="shared" si="84"/>
        <v>577375</v>
      </c>
      <c r="E2020" t="s">
        <v>2178</v>
      </c>
      <c r="F2020" t="s">
        <v>62</v>
      </c>
    </row>
    <row r="2021" spans="1:6" x14ac:dyDescent="0.25">
      <c r="A2021" t="str">
        <f>"62013661"</f>
        <v>62013661</v>
      </c>
      <c r="B2021" t="s">
        <v>2182</v>
      </c>
      <c r="C2021" t="s">
        <v>15</v>
      </c>
      <c r="D2021" t="str">
        <f t="shared" si="84"/>
        <v>577375</v>
      </c>
      <c r="E2021" t="s">
        <v>2178</v>
      </c>
      <c r="F2021" t="s">
        <v>16</v>
      </c>
    </row>
    <row r="2022" spans="1:6" x14ac:dyDescent="0.25">
      <c r="A2022" t="str">
        <f>"62013882"</f>
        <v>62013882</v>
      </c>
      <c r="B2022" t="s">
        <v>2183</v>
      </c>
      <c r="C2022" t="s">
        <v>15</v>
      </c>
      <c r="D2022" t="str">
        <f t="shared" si="84"/>
        <v>577375</v>
      </c>
      <c r="E2022" t="s">
        <v>2178</v>
      </c>
      <c r="F2022" t="s">
        <v>16</v>
      </c>
    </row>
    <row r="2023" spans="1:6" x14ac:dyDescent="0.25">
      <c r="A2023" t="str">
        <f>"48683949"</f>
        <v>48683949</v>
      </c>
      <c r="B2023" t="s">
        <v>2184</v>
      </c>
      <c r="C2023" t="s">
        <v>7</v>
      </c>
      <c r="D2023" t="str">
        <f t="shared" si="84"/>
        <v>577375</v>
      </c>
      <c r="E2023" t="s">
        <v>2178</v>
      </c>
      <c r="F2023" t="s">
        <v>11</v>
      </c>
    </row>
    <row r="2024" spans="1:6" x14ac:dyDescent="0.25">
      <c r="A2024" t="str">
        <f>"41328019"</f>
        <v>41328019</v>
      </c>
      <c r="B2024" t="s">
        <v>2185</v>
      </c>
      <c r="C2024" t="s">
        <v>7</v>
      </c>
      <c r="D2024" t="str">
        <f t="shared" ref="D2024:D2087" si="85">"556904"</f>
        <v>556904</v>
      </c>
      <c r="E2024" t="s">
        <v>2186</v>
      </c>
      <c r="F2024" t="s">
        <v>9</v>
      </c>
    </row>
    <row r="2025" spans="1:6" x14ac:dyDescent="0.25">
      <c r="A2025" t="str">
        <f>"04830091"</f>
        <v>04830091</v>
      </c>
      <c r="B2025" t="s">
        <v>2187</v>
      </c>
      <c r="C2025" t="s">
        <v>7</v>
      </c>
      <c r="D2025" t="str">
        <f t="shared" si="85"/>
        <v>556904</v>
      </c>
      <c r="E2025" t="s">
        <v>2186</v>
      </c>
      <c r="F2025" t="s">
        <v>11</v>
      </c>
    </row>
    <row r="2026" spans="1:6" x14ac:dyDescent="0.25">
      <c r="A2026" t="str">
        <f>"22870750"</f>
        <v>22870750</v>
      </c>
      <c r="B2026" t="s">
        <v>2188</v>
      </c>
      <c r="C2026" t="s">
        <v>7</v>
      </c>
      <c r="D2026" t="str">
        <f t="shared" si="85"/>
        <v>556904</v>
      </c>
      <c r="E2026" t="s">
        <v>2186</v>
      </c>
      <c r="F2026" t="s">
        <v>11</v>
      </c>
    </row>
    <row r="2027" spans="1:6" x14ac:dyDescent="0.25">
      <c r="A2027" t="str">
        <f>"22769188"</f>
        <v>22769188</v>
      </c>
      <c r="B2027" t="s">
        <v>2189</v>
      </c>
      <c r="C2027" t="s">
        <v>7</v>
      </c>
      <c r="D2027" t="str">
        <f t="shared" si="85"/>
        <v>556904</v>
      </c>
      <c r="E2027" t="s">
        <v>2186</v>
      </c>
      <c r="F2027" t="s">
        <v>11</v>
      </c>
    </row>
    <row r="2028" spans="1:6" x14ac:dyDescent="0.25">
      <c r="A2028" t="str">
        <f>"09512365"</f>
        <v>09512365</v>
      </c>
      <c r="B2028" t="s">
        <v>2190</v>
      </c>
      <c r="C2028" t="s">
        <v>7</v>
      </c>
      <c r="D2028" t="str">
        <f t="shared" si="85"/>
        <v>556904</v>
      </c>
      <c r="E2028" t="s">
        <v>2186</v>
      </c>
      <c r="F2028" t="s">
        <v>62</v>
      </c>
    </row>
    <row r="2029" spans="1:6" x14ac:dyDescent="0.25">
      <c r="A2029" t="str">
        <f>"26606909"</f>
        <v>26606909</v>
      </c>
      <c r="B2029" t="s">
        <v>2191</v>
      </c>
      <c r="C2029" t="s">
        <v>7</v>
      </c>
      <c r="D2029" t="str">
        <f t="shared" si="85"/>
        <v>556904</v>
      </c>
      <c r="E2029" t="s">
        <v>2186</v>
      </c>
      <c r="F2029" t="s">
        <v>11</v>
      </c>
    </row>
    <row r="2030" spans="1:6" x14ac:dyDescent="0.25">
      <c r="A2030" t="str">
        <f>"65635591"</f>
        <v>65635591</v>
      </c>
      <c r="B2030" t="s">
        <v>2192</v>
      </c>
      <c r="C2030" t="s">
        <v>27</v>
      </c>
      <c r="D2030" t="str">
        <f t="shared" si="85"/>
        <v>556904</v>
      </c>
      <c r="E2030" t="s">
        <v>2186</v>
      </c>
      <c r="F2030" t="s">
        <v>2193</v>
      </c>
    </row>
    <row r="2031" spans="1:6" x14ac:dyDescent="0.25">
      <c r="A2031" t="str">
        <f>"17092124"</f>
        <v>17092124</v>
      </c>
      <c r="B2031" t="s">
        <v>2194</v>
      </c>
      <c r="C2031" t="s">
        <v>7</v>
      </c>
      <c r="D2031" t="str">
        <f t="shared" si="85"/>
        <v>556904</v>
      </c>
      <c r="E2031" t="s">
        <v>2186</v>
      </c>
      <c r="F2031" t="s">
        <v>44</v>
      </c>
    </row>
    <row r="2032" spans="1:6" x14ac:dyDescent="0.25">
      <c r="A2032" t="str">
        <f>"00524450"</f>
        <v>00524450</v>
      </c>
      <c r="B2032" t="s">
        <v>2195</v>
      </c>
      <c r="C2032" t="s">
        <v>15</v>
      </c>
      <c r="D2032" t="str">
        <f t="shared" si="85"/>
        <v>556904</v>
      </c>
      <c r="E2032" t="s">
        <v>2186</v>
      </c>
      <c r="F2032" t="s">
        <v>11</v>
      </c>
    </row>
    <row r="2033" spans="1:6" x14ac:dyDescent="0.25">
      <c r="A2033" t="str">
        <f>"46744185"</f>
        <v>46744185</v>
      </c>
      <c r="B2033" t="s">
        <v>2196</v>
      </c>
      <c r="C2033" t="s">
        <v>7</v>
      </c>
      <c r="D2033" t="str">
        <f t="shared" si="85"/>
        <v>556904</v>
      </c>
      <c r="E2033" t="s">
        <v>2186</v>
      </c>
      <c r="F2033" t="s">
        <v>35</v>
      </c>
    </row>
    <row r="2034" spans="1:6" x14ac:dyDescent="0.25">
      <c r="A2034" t="str">
        <f>"46744215"</f>
        <v>46744215</v>
      </c>
      <c r="B2034" t="s">
        <v>2197</v>
      </c>
      <c r="C2034" t="s">
        <v>7</v>
      </c>
      <c r="D2034" t="str">
        <f t="shared" si="85"/>
        <v>556904</v>
      </c>
      <c r="E2034" t="s">
        <v>2186</v>
      </c>
      <c r="F2034" t="s">
        <v>9</v>
      </c>
    </row>
    <row r="2035" spans="1:6" x14ac:dyDescent="0.25">
      <c r="A2035" t="str">
        <f>"19180985"</f>
        <v>19180985</v>
      </c>
      <c r="B2035" t="s">
        <v>2198</v>
      </c>
      <c r="C2035" t="s">
        <v>7</v>
      </c>
      <c r="D2035" t="str">
        <f t="shared" si="85"/>
        <v>556904</v>
      </c>
      <c r="E2035" t="s">
        <v>2186</v>
      </c>
      <c r="F2035" t="s">
        <v>11</v>
      </c>
    </row>
    <row r="2036" spans="1:6" x14ac:dyDescent="0.25">
      <c r="A2036" t="str">
        <f>"26672481"</f>
        <v>26672481</v>
      </c>
      <c r="B2036" t="s">
        <v>2199</v>
      </c>
      <c r="C2036" t="s">
        <v>7</v>
      </c>
      <c r="D2036" t="str">
        <f t="shared" si="85"/>
        <v>556904</v>
      </c>
      <c r="E2036" t="s">
        <v>2186</v>
      </c>
      <c r="F2036" t="s">
        <v>11</v>
      </c>
    </row>
    <row r="2037" spans="1:6" x14ac:dyDescent="0.25">
      <c r="A2037" t="str">
        <f>"07979436"</f>
        <v>07979436</v>
      </c>
      <c r="B2037" t="s">
        <v>2200</v>
      </c>
      <c r="C2037" t="s">
        <v>7</v>
      </c>
      <c r="D2037" t="str">
        <f t="shared" si="85"/>
        <v>556904</v>
      </c>
      <c r="E2037" t="s">
        <v>2186</v>
      </c>
      <c r="F2037" t="s">
        <v>137</v>
      </c>
    </row>
    <row r="2038" spans="1:6" x14ac:dyDescent="0.25">
      <c r="A2038" t="str">
        <f>"26539128"</f>
        <v>26539128</v>
      </c>
      <c r="B2038" t="s">
        <v>2201</v>
      </c>
      <c r="C2038" t="s">
        <v>7</v>
      </c>
      <c r="D2038" t="str">
        <f t="shared" si="85"/>
        <v>556904</v>
      </c>
      <c r="E2038" t="s">
        <v>2186</v>
      </c>
      <c r="F2038" t="s">
        <v>9</v>
      </c>
    </row>
    <row r="2039" spans="1:6" x14ac:dyDescent="0.25">
      <c r="A2039" t="str">
        <f>"27016544"</f>
        <v>27016544</v>
      </c>
      <c r="B2039" t="s">
        <v>2202</v>
      </c>
      <c r="C2039" t="s">
        <v>7</v>
      </c>
      <c r="D2039" t="str">
        <f t="shared" si="85"/>
        <v>556904</v>
      </c>
      <c r="E2039" t="s">
        <v>2186</v>
      </c>
      <c r="F2039" t="s">
        <v>9</v>
      </c>
    </row>
    <row r="2040" spans="1:6" x14ac:dyDescent="0.25">
      <c r="A2040" t="str">
        <f>"14227355"</f>
        <v>14227355</v>
      </c>
      <c r="B2040" t="s">
        <v>2203</v>
      </c>
      <c r="C2040" t="s">
        <v>7</v>
      </c>
      <c r="D2040" t="str">
        <f t="shared" si="85"/>
        <v>556904</v>
      </c>
      <c r="E2040" t="s">
        <v>2186</v>
      </c>
      <c r="F2040" t="s">
        <v>29</v>
      </c>
    </row>
    <row r="2041" spans="1:6" x14ac:dyDescent="0.25">
      <c r="A2041" t="str">
        <f>"18055672"</f>
        <v>18055672</v>
      </c>
      <c r="B2041" t="s">
        <v>2204</v>
      </c>
      <c r="C2041" t="s">
        <v>2205</v>
      </c>
      <c r="D2041" t="str">
        <f t="shared" si="85"/>
        <v>556904</v>
      </c>
      <c r="E2041" t="s">
        <v>2186</v>
      </c>
      <c r="F2041" t="s">
        <v>1183</v>
      </c>
    </row>
    <row r="2042" spans="1:6" x14ac:dyDescent="0.25">
      <c r="A2042" t="str">
        <f>"22761802"</f>
        <v>22761802</v>
      </c>
      <c r="B2042" t="s">
        <v>2206</v>
      </c>
      <c r="C2042" t="s">
        <v>7</v>
      </c>
      <c r="D2042" t="str">
        <f t="shared" si="85"/>
        <v>556904</v>
      </c>
      <c r="E2042" t="s">
        <v>2186</v>
      </c>
      <c r="F2042" t="s">
        <v>11</v>
      </c>
    </row>
    <row r="2043" spans="1:6" x14ac:dyDescent="0.25">
      <c r="A2043" t="str">
        <f>"27017435"</f>
        <v>27017435</v>
      </c>
      <c r="B2043" t="s">
        <v>2207</v>
      </c>
      <c r="C2043" t="s">
        <v>7</v>
      </c>
      <c r="D2043" t="str">
        <f t="shared" si="85"/>
        <v>556904</v>
      </c>
      <c r="E2043" t="s">
        <v>2186</v>
      </c>
      <c r="F2043" t="s">
        <v>11</v>
      </c>
    </row>
    <row r="2044" spans="1:6" x14ac:dyDescent="0.25">
      <c r="A2044" t="str">
        <f>"07591497"</f>
        <v>07591497</v>
      </c>
      <c r="B2044" t="s">
        <v>2208</v>
      </c>
      <c r="C2044" t="s">
        <v>7</v>
      </c>
      <c r="D2044" t="str">
        <f t="shared" si="85"/>
        <v>556904</v>
      </c>
      <c r="E2044" t="s">
        <v>2186</v>
      </c>
      <c r="F2044" t="s">
        <v>35</v>
      </c>
    </row>
    <row r="2045" spans="1:6" x14ac:dyDescent="0.25">
      <c r="A2045" t="str">
        <f>"26983907"</f>
        <v>26983907</v>
      </c>
      <c r="B2045" t="s">
        <v>2209</v>
      </c>
      <c r="C2045" t="s">
        <v>7</v>
      </c>
      <c r="D2045" t="str">
        <f t="shared" si="85"/>
        <v>556904</v>
      </c>
      <c r="E2045" t="s">
        <v>2186</v>
      </c>
      <c r="F2045" t="s">
        <v>13</v>
      </c>
    </row>
    <row r="2046" spans="1:6" x14ac:dyDescent="0.25">
      <c r="A2046" t="str">
        <f>"01840339"</f>
        <v>01840339</v>
      </c>
      <c r="B2046" t="s">
        <v>2210</v>
      </c>
      <c r="C2046" t="s">
        <v>27</v>
      </c>
      <c r="D2046" t="str">
        <f t="shared" si="85"/>
        <v>556904</v>
      </c>
      <c r="E2046" t="s">
        <v>2186</v>
      </c>
      <c r="F2046" t="s">
        <v>44</v>
      </c>
    </row>
    <row r="2047" spans="1:6" x14ac:dyDescent="0.25">
      <c r="A2047" t="str">
        <f>"08956766"</f>
        <v>08956766</v>
      </c>
      <c r="B2047" t="s">
        <v>2211</v>
      </c>
      <c r="C2047" t="s">
        <v>15</v>
      </c>
      <c r="D2047" t="str">
        <f t="shared" si="85"/>
        <v>556904</v>
      </c>
      <c r="E2047" t="s">
        <v>2186</v>
      </c>
      <c r="F2047" t="s">
        <v>62</v>
      </c>
    </row>
    <row r="2048" spans="1:6" x14ac:dyDescent="0.25">
      <c r="A2048" t="str">
        <f>"22844147"</f>
        <v>22844147</v>
      </c>
      <c r="B2048" t="s">
        <v>2212</v>
      </c>
      <c r="C2048" t="s">
        <v>7</v>
      </c>
      <c r="D2048" t="str">
        <f t="shared" si="85"/>
        <v>556904</v>
      </c>
      <c r="E2048" t="s">
        <v>2186</v>
      </c>
      <c r="F2048" t="s">
        <v>11</v>
      </c>
    </row>
    <row r="2049" spans="1:6" x14ac:dyDescent="0.25">
      <c r="A2049" t="str">
        <f>"27022676"</f>
        <v>27022676</v>
      </c>
      <c r="B2049" t="s">
        <v>2213</v>
      </c>
      <c r="C2049" t="s">
        <v>7</v>
      </c>
      <c r="D2049" t="str">
        <f t="shared" si="85"/>
        <v>556904</v>
      </c>
      <c r="E2049" t="s">
        <v>2186</v>
      </c>
      <c r="F2049" t="s">
        <v>11</v>
      </c>
    </row>
    <row r="2050" spans="1:6" x14ac:dyDescent="0.25">
      <c r="A2050" t="str">
        <f>"28750969"</f>
        <v>28750969</v>
      </c>
      <c r="B2050" t="s">
        <v>2214</v>
      </c>
      <c r="C2050" t="s">
        <v>78</v>
      </c>
      <c r="D2050" t="str">
        <f t="shared" si="85"/>
        <v>556904</v>
      </c>
      <c r="E2050" t="s">
        <v>2186</v>
      </c>
      <c r="F2050" t="s">
        <v>183</v>
      </c>
    </row>
    <row r="2051" spans="1:6" x14ac:dyDescent="0.25">
      <c r="A2051" t="str">
        <f>"00525464"</f>
        <v>00525464</v>
      </c>
      <c r="B2051" t="s">
        <v>2215</v>
      </c>
      <c r="C2051" t="s">
        <v>15</v>
      </c>
      <c r="D2051" t="str">
        <f t="shared" si="85"/>
        <v>556904</v>
      </c>
      <c r="E2051" t="s">
        <v>2186</v>
      </c>
      <c r="F2051" t="s">
        <v>11</v>
      </c>
    </row>
    <row r="2052" spans="1:6" x14ac:dyDescent="0.25">
      <c r="A2052" t="str">
        <f>"27058271"</f>
        <v>27058271</v>
      </c>
      <c r="B2052" t="s">
        <v>2216</v>
      </c>
      <c r="C2052" t="s">
        <v>7</v>
      </c>
      <c r="D2052" t="str">
        <f t="shared" si="85"/>
        <v>556904</v>
      </c>
      <c r="E2052" t="s">
        <v>2186</v>
      </c>
      <c r="F2052" t="s">
        <v>11</v>
      </c>
    </row>
    <row r="2053" spans="1:6" x14ac:dyDescent="0.25">
      <c r="A2053" t="str">
        <f>"26552591"</f>
        <v>26552591</v>
      </c>
      <c r="B2053" t="s">
        <v>2217</v>
      </c>
      <c r="C2053" t="s">
        <v>7</v>
      </c>
      <c r="D2053" t="str">
        <f t="shared" si="85"/>
        <v>556904</v>
      </c>
      <c r="E2053" t="s">
        <v>2186</v>
      </c>
      <c r="F2053" t="s">
        <v>139</v>
      </c>
    </row>
    <row r="2054" spans="1:6" x14ac:dyDescent="0.25">
      <c r="A2054" t="str">
        <f>"70849200"</f>
        <v>70849200</v>
      </c>
      <c r="B2054" t="s">
        <v>2218</v>
      </c>
      <c r="C2054" t="s">
        <v>7</v>
      </c>
      <c r="D2054" t="str">
        <f t="shared" si="85"/>
        <v>556904</v>
      </c>
      <c r="E2054" t="s">
        <v>2186</v>
      </c>
      <c r="F2054" t="s">
        <v>11</v>
      </c>
    </row>
    <row r="2055" spans="1:6" x14ac:dyDescent="0.25">
      <c r="A2055" t="str">
        <f>"68982968"</f>
        <v>68982968</v>
      </c>
      <c r="B2055" t="s">
        <v>2219</v>
      </c>
      <c r="C2055" t="s">
        <v>7</v>
      </c>
      <c r="D2055" t="str">
        <f t="shared" si="85"/>
        <v>556904</v>
      </c>
      <c r="E2055" t="s">
        <v>2186</v>
      </c>
      <c r="F2055" t="s">
        <v>11</v>
      </c>
    </row>
    <row r="2056" spans="1:6" x14ac:dyDescent="0.25">
      <c r="A2056" t="str">
        <f>"07728107"</f>
        <v>07728107</v>
      </c>
      <c r="B2056" t="s">
        <v>2220</v>
      </c>
      <c r="C2056" t="s">
        <v>7</v>
      </c>
      <c r="D2056" t="str">
        <f t="shared" si="85"/>
        <v>556904</v>
      </c>
      <c r="E2056" t="s">
        <v>2186</v>
      </c>
      <c r="F2056" t="s">
        <v>11</v>
      </c>
    </row>
    <row r="2057" spans="1:6" x14ac:dyDescent="0.25">
      <c r="A2057" t="str">
        <f>"65100671"</f>
        <v>65100671</v>
      </c>
      <c r="B2057" t="s">
        <v>2221</v>
      </c>
      <c r="C2057" t="s">
        <v>7</v>
      </c>
      <c r="D2057" t="str">
        <f t="shared" si="85"/>
        <v>556904</v>
      </c>
      <c r="E2057" t="s">
        <v>2186</v>
      </c>
      <c r="F2057" t="s">
        <v>9</v>
      </c>
    </row>
    <row r="2058" spans="1:6" x14ac:dyDescent="0.25">
      <c r="A2058" t="str">
        <f>"27014045"</f>
        <v>27014045</v>
      </c>
      <c r="B2058" t="s">
        <v>2222</v>
      </c>
      <c r="C2058" t="s">
        <v>7</v>
      </c>
      <c r="D2058" t="str">
        <f t="shared" si="85"/>
        <v>556904</v>
      </c>
      <c r="E2058" t="s">
        <v>2186</v>
      </c>
      <c r="F2058" t="s">
        <v>11</v>
      </c>
    </row>
    <row r="2059" spans="1:6" x14ac:dyDescent="0.25">
      <c r="A2059" t="str">
        <f>"46744363"</f>
        <v>46744363</v>
      </c>
      <c r="B2059" t="s">
        <v>2223</v>
      </c>
      <c r="C2059" t="s">
        <v>2224</v>
      </c>
      <c r="D2059" t="str">
        <f t="shared" si="85"/>
        <v>556904</v>
      </c>
      <c r="E2059" t="s">
        <v>2186</v>
      </c>
      <c r="F2059" t="s">
        <v>2225</v>
      </c>
    </row>
    <row r="2060" spans="1:6" x14ac:dyDescent="0.25">
      <c r="A2060" t="str">
        <f>"09796631"</f>
        <v>09796631</v>
      </c>
      <c r="B2060" t="s">
        <v>2226</v>
      </c>
      <c r="C2060" t="s">
        <v>7</v>
      </c>
      <c r="D2060" t="str">
        <f t="shared" si="85"/>
        <v>556904</v>
      </c>
      <c r="E2060" t="s">
        <v>2186</v>
      </c>
      <c r="F2060" t="s">
        <v>11</v>
      </c>
    </row>
    <row r="2061" spans="1:6" x14ac:dyDescent="0.25">
      <c r="A2061" t="str">
        <f>"44224711"</f>
        <v>44224711</v>
      </c>
      <c r="B2061" t="s">
        <v>2227</v>
      </c>
      <c r="C2061" t="s">
        <v>7</v>
      </c>
      <c r="D2061" t="str">
        <f t="shared" si="85"/>
        <v>556904</v>
      </c>
      <c r="E2061" t="s">
        <v>2186</v>
      </c>
      <c r="F2061" t="s">
        <v>2228</v>
      </c>
    </row>
    <row r="2062" spans="1:6" x14ac:dyDescent="0.25">
      <c r="A2062" t="str">
        <f>"01531182"</f>
        <v>01531182</v>
      </c>
      <c r="B2062" t="s">
        <v>2229</v>
      </c>
      <c r="C2062" t="s">
        <v>7</v>
      </c>
      <c r="D2062" t="str">
        <f t="shared" si="85"/>
        <v>556904</v>
      </c>
      <c r="E2062" t="s">
        <v>2186</v>
      </c>
      <c r="F2062" t="s">
        <v>11</v>
      </c>
    </row>
    <row r="2063" spans="1:6" x14ac:dyDescent="0.25">
      <c r="A2063" t="str">
        <f>"22712275"</f>
        <v>22712275</v>
      </c>
      <c r="B2063" t="s">
        <v>2230</v>
      </c>
      <c r="C2063" t="s">
        <v>7</v>
      </c>
      <c r="D2063" t="str">
        <f t="shared" si="85"/>
        <v>556904</v>
      </c>
      <c r="E2063" t="s">
        <v>2186</v>
      </c>
      <c r="F2063" t="s">
        <v>29</v>
      </c>
    </row>
    <row r="2064" spans="1:6" x14ac:dyDescent="0.25">
      <c r="A2064" t="str">
        <f>"64040518"</f>
        <v>64040518</v>
      </c>
      <c r="B2064" t="s">
        <v>2231</v>
      </c>
      <c r="C2064" t="s">
        <v>7</v>
      </c>
      <c r="D2064" t="str">
        <f t="shared" si="85"/>
        <v>556904</v>
      </c>
      <c r="E2064" t="s">
        <v>2186</v>
      </c>
      <c r="F2064" t="s">
        <v>11</v>
      </c>
    </row>
    <row r="2065" spans="1:6" x14ac:dyDescent="0.25">
      <c r="A2065" t="str">
        <f>"26591359"</f>
        <v>26591359</v>
      </c>
      <c r="B2065" t="s">
        <v>2232</v>
      </c>
      <c r="C2065" t="s">
        <v>7</v>
      </c>
      <c r="D2065" t="str">
        <f t="shared" si="85"/>
        <v>556904</v>
      </c>
      <c r="E2065" t="s">
        <v>2186</v>
      </c>
      <c r="F2065" t="s">
        <v>9</v>
      </c>
    </row>
    <row r="2066" spans="1:6" x14ac:dyDescent="0.25">
      <c r="A2066" t="str">
        <f>"22843094"</f>
        <v>22843094</v>
      </c>
      <c r="B2066" t="s">
        <v>2233</v>
      </c>
      <c r="C2066" t="s">
        <v>7</v>
      </c>
      <c r="D2066" t="str">
        <f t="shared" si="85"/>
        <v>556904</v>
      </c>
      <c r="E2066" t="s">
        <v>2186</v>
      </c>
      <c r="F2066" t="s">
        <v>139</v>
      </c>
    </row>
    <row r="2067" spans="1:6" x14ac:dyDescent="0.25">
      <c r="A2067" t="str">
        <f>"09746927"</f>
        <v>09746927</v>
      </c>
      <c r="B2067" t="s">
        <v>2234</v>
      </c>
      <c r="C2067" t="s">
        <v>7</v>
      </c>
      <c r="D2067" t="str">
        <f t="shared" si="85"/>
        <v>556904</v>
      </c>
      <c r="E2067" t="s">
        <v>2186</v>
      </c>
      <c r="F2067" t="s">
        <v>11</v>
      </c>
    </row>
    <row r="2068" spans="1:6" x14ac:dyDescent="0.25">
      <c r="A2068" t="str">
        <f>"73635014"</f>
        <v>73635014</v>
      </c>
      <c r="B2068" t="s">
        <v>2235</v>
      </c>
      <c r="C2068" t="s">
        <v>43</v>
      </c>
      <c r="D2068" t="str">
        <f t="shared" si="85"/>
        <v>556904</v>
      </c>
      <c r="E2068" t="s">
        <v>2186</v>
      </c>
      <c r="F2068" t="s">
        <v>44</v>
      </c>
    </row>
    <row r="2069" spans="1:6" x14ac:dyDescent="0.25">
      <c r="A2069" t="str">
        <f>"46748342"</f>
        <v>46748342</v>
      </c>
      <c r="B2069" t="s">
        <v>2236</v>
      </c>
      <c r="C2069" t="s">
        <v>15</v>
      </c>
      <c r="D2069" t="str">
        <f t="shared" si="85"/>
        <v>556904</v>
      </c>
      <c r="E2069" t="s">
        <v>2186</v>
      </c>
      <c r="F2069" t="s">
        <v>9</v>
      </c>
    </row>
    <row r="2070" spans="1:6" x14ac:dyDescent="0.25">
      <c r="A2070" t="str">
        <f>"22891161"</f>
        <v>22891161</v>
      </c>
      <c r="B2070" t="s">
        <v>2237</v>
      </c>
      <c r="C2070" t="s">
        <v>78</v>
      </c>
      <c r="D2070" t="str">
        <f t="shared" si="85"/>
        <v>556904</v>
      </c>
      <c r="E2070" t="s">
        <v>2186</v>
      </c>
      <c r="F2070" t="s">
        <v>2238</v>
      </c>
    </row>
    <row r="2071" spans="1:6" x14ac:dyDescent="0.25">
      <c r="A2071" t="str">
        <f>"46745602"</f>
        <v>46745602</v>
      </c>
      <c r="B2071" t="s">
        <v>2239</v>
      </c>
      <c r="C2071" t="s">
        <v>7</v>
      </c>
      <c r="D2071" t="str">
        <f t="shared" si="85"/>
        <v>556904</v>
      </c>
      <c r="E2071" t="s">
        <v>2186</v>
      </c>
      <c r="F2071" t="s">
        <v>11</v>
      </c>
    </row>
    <row r="2072" spans="1:6" x14ac:dyDescent="0.25">
      <c r="A2072" t="str">
        <f>"11722878"</f>
        <v>11722878</v>
      </c>
      <c r="B2072" t="s">
        <v>2240</v>
      </c>
      <c r="C2072" t="s">
        <v>7</v>
      </c>
      <c r="D2072" t="str">
        <f t="shared" si="85"/>
        <v>556904</v>
      </c>
      <c r="E2072" t="s">
        <v>2186</v>
      </c>
      <c r="F2072" t="s">
        <v>11</v>
      </c>
    </row>
    <row r="2073" spans="1:6" x14ac:dyDescent="0.25">
      <c r="A2073" t="str">
        <f>"22759891"</f>
        <v>22759891</v>
      </c>
      <c r="B2073" t="s">
        <v>2241</v>
      </c>
      <c r="C2073" t="s">
        <v>7</v>
      </c>
      <c r="D2073" t="str">
        <f t="shared" si="85"/>
        <v>556904</v>
      </c>
      <c r="E2073" t="s">
        <v>2186</v>
      </c>
      <c r="F2073" t="s">
        <v>11</v>
      </c>
    </row>
    <row r="2074" spans="1:6" x14ac:dyDescent="0.25">
      <c r="A2074" t="str">
        <f>"68299907"</f>
        <v>68299907</v>
      </c>
      <c r="B2074" t="s">
        <v>2242</v>
      </c>
      <c r="C2074" t="s">
        <v>7</v>
      </c>
      <c r="D2074" t="str">
        <f t="shared" si="85"/>
        <v>556904</v>
      </c>
      <c r="E2074" t="s">
        <v>2186</v>
      </c>
      <c r="F2074" t="s">
        <v>11</v>
      </c>
    </row>
    <row r="2075" spans="1:6" x14ac:dyDescent="0.25">
      <c r="A2075" t="str">
        <f>"04393317"</f>
        <v>04393317</v>
      </c>
      <c r="B2075" t="s">
        <v>2243</v>
      </c>
      <c r="C2075" t="s">
        <v>7</v>
      </c>
      <c r="D2075" t="str">
        <f t="shared" si="85"/>
        <v>556904</v>
      </c>
      <c r="E2075" t="s">
        <v>2186</v>
      </c>
      <c r="F2075" t="s">
        <v>18</v>
      </c>
    </row>
    <row r="2076" spans="1:6" x14ac:dyDescent="0.25">
      <c r="A2076" t="str">
        <f>"26539829"</f>
        <v>26539829</v>
      </c>
      <c r="B2076" t="s">
        <v>2244</v>
      </c>
      <c r="C2076" t="s">
        <v>7</v>
      </c>
      <c r="D2076" t="str">
        <f t="shared" si="85"/>
        <v>556904</v>
      </c>
      <c r="E2076" t="s">
        <v>2186</v>
      </c>
      <c r="F2076" t="s">
        <v>11</v>
      </c>
    </row>
    <row r="2077" spans="1:6" x14ac:dyDescent="0.25">
      <c r="A2077" t="str">
        <f>"22853740"</f>
        <v>22853740</v>
      </c>
      <c r="B2077" t="s">
        <v>2245</v>
      </c>
      <c r="C2077" t="s">
        <v>7</v>
      </c>
      <c r="D2077" t="str">
        <f t="shared" si="85"/>
        <v>556904</v>
      </c>
      <c r="E2077" t="s">
        <v>2186</v>
      </c>
      <c r="F2077" t="s">
        <v>11</v>
      </c>
    </row>
    <row r="2078" spans="1:6" x14ac:dyDescent="0.25">
      <c r="A2078" t="str">
        <f>"02381231"</f>
        <v>02381231</v>
      </c>
      <c r="B2078" t="s">
        <v>2246</v>
      </c>
      <c r="C2078" t="s">
        <v>7</v>
      </c>
      <c r="D2078" t="str">
        <f t="shared" si="85"/>
        <v>556904</v>
      </c>
      <c r="E2078" t="s">
        <v>2186</v>
      </c>
      <c r="F2078" t="s">
        <v>11</v>
      </c>
    </row>
    <row r="2079" spans="1:6" x14ac:dyDescent="0.25">
      <c r="A2079" t="str">
        <f>"07830106"</f>
        <v>07830106</v>
      </c>
      <c r="B2079" t="s">
        <v>2247</v>
      </c>
      <c r="C2079" t="s">
        <v>7</v>
      </c>
      <c r="D2079" t="str">
        <f t="shared" si="85"/>
        <v>556904</v>
      </c>
      <c r="E2079" t="s">
        <v>2186</v>
      </c>
      <c r="F2079" t="s">
        <v>11</v>
      </c>
    </row>
    <row r="2080" spans="1:6" x14ac:dyDescent="0.25">
      <c r="A2080" t="str">
        <f>"17240859"</f>
        <v>17240859</v>
      </c>
      <c r="B2080" t="s">
        <v>2248</v>
      </c>
      <c r="C2080" t="s">
        <v>7</v>
      </c>
      <c r="D2080" t="str">
        <f t="shared" si="85"/>
        <v>556904</v>
      </c>
      <c r="E2080" t="s">
        <v>2186</v>
      </c>
      <c r="F2080" t="s">
        <v>29</v>
      </c>
    </row>
    <row r="2081" spans="1:6" x14ac:dyDescent="0.25">
      <c r="A2081" t="str">
        <f>"17234395"</f>
        <v>17234395</v>
      </c>
      <c r="B2081" t="s">
        <v>2249</v>
      </c>
      <c r="C2081" t="s">
        <v>7</v>
      </c>
      <c r="D2081" t="str">
        <f t="shared" si="85"/>
        <v>556904</v>
      </c>
      <c r="E2081" t="s">
        <v>2186</v>
      </c>
      <c r="F2081" t="s">
        <v>139</v>
      </c>
    </row>
    <row r="2082" spans="1:6" x14ac:dyDescent="0.25">
      <c r="A2082" t="str">
        <f>"22682708"</f>
        <v>22682708</v>
      </c>
      <c r="B2082" t="s">
        <v>2250</v>
      </c>
      <c r="C2082" t="s">
        <v>7</v>
      </c>
      <c r="D2082" t="str">
        <f t="shared" si="85"/>
        <v>556904</v>
      </c>
      <c r="E2082" t="s">
        <v>2186</v>
      </c>
      <c r="F2082" t="s">
        <v>11</v>
      </c>
    </row>
    <row r="2083" spans="1:6" x14ac:dyDescent="0.25">
      <c r="A2083" t="str">
        <f>"26634830"</f>
        <v>26634830</v>
      </c>
      <c r="B2083" t="s">
        <v>2251</v>
      </c>
      <c r="C2083" t="s">
        <v>7</v>
      </c>
      <c r="D2083" t="str">
        <f t="shared" si="85"/>
        <v>556904</v>
      </c>
      <c r="E2083" t="s">
        <v>2186</v>
      </c>
      <c r="F2083" t="s">
        <v>9</v>
      </c>
    </row>
    <row r="2084" spans="1:6" x14ac:dyDescent="0.25">
      <c r="A2084" t="str">
        <f>"46746889"</f>
        <v>46746889</v>
      </c>
      <c r="B2084" t="s">
        <v>2252</v>
      </c>
      <c r="C2084" t="s">
        <v>7</v>
      </c>
      <c r="D2084" t="str">
        <f t="shared" si="85"/>
        <v>556904</v>
      </c>
      <c r="E2084" t="s">
        <v>2186</v>
      </c>
      <c r="F2084" t="s">
        <v>9</v>
      </c>
    </row>
    <row r="2085" spans="1:6" x14ac:dyDescent="0.25">
      <c r="A2085" t="str">
        <f>"05425824"</f>
        <v>05425824</v>
      </c>
      <c r="B2085" t="s">
        <v>2253</v>
      </c>
      <c r="C2085" t="s">
        <v>7</v>
      </c>
      <c r="D2085" t="str">
        <f t="shared" si="85"/>
        <v>556904</v>
      </c>
      <c r="E2085" t="s">
        <v>2186</v>
      </c>
      <c r="F2085" t="s">
        <v>11</v>
      </c>
    </row>
    <row r="2086" spans="1:6" x14ac:dyDescent="0.25">
      <c r="A2086" t="str">
        <f>"19173504"</f>
        <v>19173504</v>
      </c>
      <c r="B2086" t="s">
        <v>2254</v>
      </c>
      <c r="C2086" t="s">
        <v>7</v>
      </c>
      <c r="D2086" t="str">
        <f t="shared" si="85"/>
        <v>556904</v>
      </c>
      <c r="E2086" t="s">
        <v>2186</v>
      </c>
      <c r="F2086" t="s">
        <v>11</v>
      </c>
    </row>
    <row r="2087" spans="1:6" x14ac:dyDescent="0.25">
      <c r="A2087" t="str">
        <f>"01905058"</f>
        <v>01905058</v>
      </c>
      <c r="B2087" t="s">
        <v>2255</v>
      </c>
      <c r="C2087" t="s">
        <v>7</v>
      </c>
      <c r="D2087" t="str">
        <f t="shared" si="85"/>
        <v>556904</v>
      </c>
      <c r="E2087" t="s">
        <v>2186</v>
      </c>
      <c r="F2087" t="s">
        <v>389</v>
      </c>
    </row>
    <row r="2088" spans="1:6" x14ac:dyDescent="0.25">
      <c r="A2088" t="str">
        <f>"02273195"</f>
        <v>02273195</v>
      </c>
      <c r="B2088" t="s">
        <v>2256</v>
      </c>
      <c r="C2088" t="s">
        <v>7</v>
      </c>
      <c r="D2088" t="str">
        <f t="shared" ref="D2088:D2151" si="86">"556904"</f>
        <v>556904</v>
      </c>
      <c r="E2088" t="s">
        <v>2186</v>
      </c>
      <c r="F2088" t="s">
        <v>11</v>
      </c>
    </row>
    <row r="2089" spans="1:6" x14ac:dyDescent="0.25">
      <c r="A2089" t="str">
        <f>"70982252"</f>
        <v>70982252</v>
      </c>
      <c r="B2089" t="s">
        <v>2257</v>
      </c>
      <c r="C2089" t="s">
        <v>726</v>
      </c>
      <c r="D2089" t="str">
        <f t="shared" si="86"/>
        <v>556904</v>
      </c>
      <c r="E2089" t="s">
        <v>2186</v>
      </c>
      <c r="F2089" t="s">
        <v>11</v>
      </c>
    </row>
    <row r="2090" spans="1:6" x14ac:dyDescent="0.25">
      <c r="A2090" t="str">
        <f>"71203249"</f>
        <v>71203249</v>
      </c>
      <c r="B2090" t="s">
        <v>2258</v>
      </c>
      <c r="C2090" t="s">
        <v>7</v>
      </c>
      <c r="D2090" t="str">
        <f t="shared" si="86"/>
        <v>556904</v>
      </c>
      <c r="E2090" t="s">
        <v>2186</v>
      </c>
      <c r="F2090" t="s">
        <v>65</v>
      </c>
    </row>
    <row r="2091" spans="1:6" x14ac:dyDescent="0.25">
      <c r="A2091" t="str">
        <f>"27046991"</f>
        <v>27046991</v>
      </c>
      <c r="B2091" t="s">
        <v>2259</v>
      </c>
      <c r="C2091" t="s">
        <v>7</v>
      </c>
      <c r="D2091" t="str">
        <f t="shared" si="86"/>
        <v>556904</v>
      </c>
      <c r="E2091" t="s">
        <v>2186</v>
      </c>
      <c r="F2091" t="s">
        <v>11</v>
      </c>
    </row>
    <row r="2092" spans="1:6" x14ac:dyDescent="0.25">
      <c r="A2092" t="str">
        <f>"14015609"</f>
        <v>14015609</v>
      </c>
      <c r="B2092" t="s">
        <v>2260</v>
      </c>
      <c r="C2092" t="s">
        <v>7</v>
      </c>
      <c r="D2092" t="str">
        <f t="shared" si="86"/>
        <v>556904</v>
      </c>
      <c r="E2092" t="s">
        <v>2186</v>
      </c>
      <c r="F2092" t="s">
        <v>11</v>
      </c>
    </row>
    <row r="2093" spans="1:6" x14ac:dyDescent="0.25">
      <c r="A2093" t="str">
        <f>"72055031"</f>
        <v>72055031</v>
      </c>
      <c r="B2093" t="s">
        <v>2261</v>
      </c>
      <c r="C2093" t="s">
        <v>726</v>
      </c>
      <c r="D2093" t="str">
        <f t="shared" si="86"/>
        <v>556904</v>
      </c>
      <c r="E2093" t="s">
        <v>2186</v>
      </c>
      <c r="F2093" t="s">
        <v>2262</v>
      </c>
    </row>
    <row r="2094" spans="1:6" x14ac:dyDescent="0.25">
      <c r="A2094" t="str">
        <f>"46747354"</f>
        <v>46747354</v>
      </c>
      <c r="B2094" t="s">
        <v>2263</v>
      </c>
      <c r="C2094" t="s">
        <v>15</v>
      </c>
      <c r="D2094" t="str">
        <f t="shared" si="86"/>
        <v>556904</v>
      </c>
      <c r="E2094" t="s">
        <v>2186</v>
      </c>
      <c r="F2094" t="s">
        <v>137</v>
      </c>
    </row>
    <row r="2095" spans="1:6" x14ac:dyDescent="0.25">
      <c r="A2095" t="str">
        <f>"22879145"</f>
        <v>22879145</v>
      </c>
      <c r="B2095" t="s">
        <v>2264</v>
      </c>
      <c r="C2095" t="s">
        <v>7</v>
      </c>
      <c r="D2095" t="str">
        <f t="shared" si="86"/>
        <v>556904</v>
      </c>
      <c r="E2095" t="s">
        <v>2186</v>
      </c>
      <c r="F2095" t="s">
        <v>11</v>
      </c>
    </row>
    <row r="2096" spans="1:6" x14ac:dyDescent="0.25">
      <c r="A2096" t="str">
        <f>"22675779"</f>
        <v>22675779</v>
      </c>
      <c r="B2096" t="s">
        <v>2265</v>
      </c>
      <c r="C2096" t="s">
        <v>7</v>
      </c>
      <c r="D2096" t="str">
        <f t="shared" si="86"/>
        <v>556904</v>
      </c>
      <c r="E2096" t="s">
        <v>2186</v>
      </c>
      <c r="F2096" t="s">
        <v>9</v>
      </c>
    </row>
    <row r="2097" spans="1:6" x14ac:dyDescent="0.25">
      <c r="A2097" t="str">
        <f>"09849807"</f>
        <v>09849807</v>
      </c>
      <c r="B2097" t="s">
        <v>2266</v>
      </c>
      <c r="C2097" t="s">
        <v>15</v>
      </c>
      <c r="D2097" t="str">
        <f t="shared" si="86"/>
        <v>556904</v>
      </c>
      <c r="E2097" t="s">
        <v>2186</v>
      </c>
      <c r="F2097" t="s">
        <v>139</v>
      </c>
    </row>
    <row r="2098" spans="1:6" x14ac:dyDescent="0.25">
      <c r="A2098" t="str">
        <f>"17475180"</f>
        <v>17475180</v>
      </c>
      <c r="B2098" t="s">
        <v>2267</v>
      </c>
      <c r="C2098" t="s">
        <v>15</v>
      </c>
      <c r="D2098" t="str">
        <f t="shared" si="86"/>
        <v>556904</v>
      </c>
      <c r="E2098" t="s">
        <v>2186</v>
      </c>
      <c r="F2098" t="s">
        <v>139</v>
      </c>
    </row>
    <row r="2099" spans="1:6" x14ac:dyDescent="0.25">
      <c r="A2099" t="str">
        <f>"19138199"</f>
        <v>19138199</v>
      </c>
      <c r="B2099" t="s">
        <v>2268</v>
      </c>
      <c r="C2099" t="s">
        <v>15</v>
      </c>
      <c r="D2099" t="str">
        <f t="shared" si="86"/>
        <v>556904</v>
      </c>
      <c r="E2099" t="s">
        <v>2186</v>
      </c>
      <c r="F2099" t="s">
        <v>139</v>
      </c>
    </row>
    <row r="2100" spans="1:6" x14ac:dyDescent="0.25">
      <c r="A2100" t="str">
        <f>"22582631"</f>
        <v>22582631</v>
      </c>
      <c r="B2100" t="s">
        <v>2269</v>
      </c>
      <c r="C2100" t="s">
        <v>15</v>
      </c>
      <c r="D2100" t="str">
        <f t="shared" si="86"/>
        <v>556904</v>
      </c>
      <c r="E2100" t="s">
        <v>2186</v>
      </c>
      <c r="F2100" t="s">
        <v>139</v>
      </c>
    </row>
    <row r="2101" spans="1:6" x14ac:dyDescent="0.25">
      <c r="A2101" t="str">
        <f>"15887901"</f>
        <v>15887901</v>
      </c>
      <c r="B2101" t="s">
        <v>2270</v>
      </c>
      <c r="C2101" t="s">
        <v>7</v>
      </c>
      <c r="D2101" t="str">
        <f t="shared" si="86"/>
        <v>556904</v>
      </c>
      <c r="E2101" t="s">
        <v>2186</v>
      </c>
      <c r="F2101" t="s">
        <v>11</v>
      </c>
    </row>
    <row r="2102" spans="1:6" x14ac:dyDescent="0.25">
      <c r="A2102" t="str">
        <f>"22837680"</f>
        <v>22837680</v>
      </c>
      <c r="B2102" t="s">
        <v>2271</v>
      </c>
      <c r="C2102" t="s">
        <v>7</v>
      </c>
      <c r="D2102" t="str">
        <f t="shared" si="86"/>
        <v>556904</v>
      </c>
      <c r="E2102" t="s">
        <v>2186</v>
      </c>
      <c r="F2102" t="s">
        <v>137</v>
      </c>
    </row>
    <row r="2103" spans="1:6" x14ac:dyDescent="0.25">
      <c r="A2103" t="str">
        <f>"19448660"</f>
        <v>19448660</v>
      </c>
      <c r="B2103" t="s">
        <v>2272</v>
      </c>
      <c r="C2103" t="s">
        <v>7</v>
      </c>
      <c r="D2103" t="str">
        <f t="shared" si="86"/>
        <v>556904</v>
      </c>
      <c r="E2103" t="s">
        <v>2186</v>
      </c>
      <c r="F2103" t="s">
        <v>2273</v>
      </c>
    </row>
    <row r="2104" spans="1:6" x14ac:dyDescent="0.25">
      <c r="A2104" t="str">
        <f>"22754415"</f>
        <v>22754415</v>
      </c>
      <c r="B2104" t="s">
        <v>2274</v>
      </c>
      <c r="C2104" t="s">
        <v>7</v>
      </c>
      <c r="D2104" t="str">
        <f t="shared" si="86"/>
        <v>556904</v>
      </c>
      <c r="E2104" t="s">
        <v>2186</v>
      </c>
      <c r="F2104" t="s">
        <v>62</v>
      </c>
    </row>
    <row r="2105" spans="1:6" x14ac:dyDescent="0.25">
      <c r="A2105" t="str">
        <f>"09667130"</f>
        <v>09667130</v>
      </c>
      <c r="B2105" t="s">
        <v>2275</v>
      </c>
      <c r="C2105" t="s">
        <v>27</v>
      </c>
      <c r="D2105" t="str">
        <f t="shared" si="86"/>
        <v>556904</v>
      </c>
      <c r="E2105" t="s">
        <v>2186</v>
      </c>
      <c r="F2105" t="s">
        <v>29</v>
      </c>
    </row>
    <row r="2106" spans="1:6" x14ac:dyDescent="0.25">
      <c r="A2106" t="str">
        <f>"04332873"</f>
        <v>04332873</v>
      </c>
      <c r="B2106" t="s">
        <v>2276</v>
      </c>
      <c r="C2106" t="s">
        <v>7</v>
      </c>
      <c r="D2106" t="str">
        <f t="shared" si="86"/>
        <v>556904</v>
      </c>
      <c r="E2106" t="s">
        <v>2186</v>
      </c>
      <c r="F2106" t="s">
        <v>11</v>
      </c>
    </row>
    <row r="2107" spans="1:6" x14ac:dyDescent="0.25">
      <c r="A2107" t="str">
        <f>"07664338"</f>
        <v>07664338</v>
      </c>
      <c r="B2107" t="s">
        <v>2277</v>
      </c>
      <c r="C2107" t="s">
        <v>7</v>
      </c>
      <c r="D2107" t="str">
        <f t="shared" si="86"/>
        <v>556904</v>
      </c>
      <c r="E2107" t="s">
        <v>2186</v>
      </c>
      <c r="F2107" t="s">
        <v>11</v>
      </c>
    </row>
    <row r="2108" spans="1:6" x14ac:dyDescent="0.25">
      <c r="A2108" t="str">
        <f>"46748768"</f>
        <v>46748768</v>
      </c>
      <c r="B2108" t="s">
        <v>2278</v>
      </c>
      <c r="C2108" t="s">
        <v>15</v>
      </c>
      <c r="D2108" t="str">
        <f t="shared" si="86"/>
        <v>556904</v>
      </c>
      <c r="E2108" t="s">
        <v>2186</v>
      </c>
      <c r="F2108" t="s">
        <v>29</v>
      </c>
    </row>
    <row r="2109" spans="1:6" x14ac:dyDescent="0.25">
      <c r="A2109" t="str">
        <f>"00671398"</f>
        <v>00671398</v>
      </c>
      <c r="B2109" t="s">
        <v>2279</v>
      </c>
      <c r="C2109" t="s">
        <v>15</v>
      </c>
      <c r="D2109" t="str">
        <f t="shared" si="86"/>
        <v>556904</v>
      </c>
      <c r="E2109" t="s">
        <v>2186</v>
      </c>
      <c r="F2109" t="s">
        <v>29</v>
      </c>
    </row>
    <row r="2110" spans="1:6" x14ac:dyDescent="0.25">
      <c r="A2110" t="str">
        <f>"66110513"</f>
        <v>66110513</v>
      </c>
      <c r="B2110" t="s">
        <v>2280</v>
      </c>
      <c r="C2110" t="s">
        <v>15</v>
      </c>
      <c r="D2110" t="str">
        <f t="shared" si="86"/>
        <v>556904</v>
      </c>
      <c r="E2110" t="s">
        <v>2186</v>
      </c>
      <c r="F2110" t="s">
        <v>11</v>
      </c>
    </row>
    <row r="2111" spans="1:6" x14ac:dyDescent="0.25">
      <c r="A2111" t="str">
        <f>"26588323"</f>
        <v>26588323</v>
      </c>
      <c r="B2111" t="s">
        <v>2281</v>
      </c>
      <c r="C2111" t="s">
        <v>7</v>
      </c>
      <c r="D2111" t="str">
        <f t="shared" si="86"/>
        <v>556904</v>
      </c>
      <c r="E2111" t="s">
        <v>2186</v>
      </c>
      <c r="F2111" t="s">
        <v>9</v>
      </c>
    </row>
    <row r="2112" spans="1:6" x14ac:dyDescent="0.25">
      <c r="A2112" t="str">
        <f>"22666761"</f>
        <v>22666761</v>
      </c>
      <c r="B2112" t="s">
        <v>2282</v>
      </c>
      <c r="C2112" t="s">
        <v>7</v>
      </c>
      <c r="D2112" t="str">
        <f t="shared" si="86"/>
        <v>556904</v>
      </c>
      <c r="E2112" t="s">
        <v>2186</v>
      </c>
      <c r="F2112" t="s">
        <v>9</v>
      </c>
    </row>
    <row r="2113" spans="1:6" x14ac:dyDescent="0.25">
      <c r="A2113" t="str">
        <f>"65100522"</f>
        <v>65100522</v>
      </c>
      <c r="B2113" t="s">
        <v>2283</v>
      </c>
      <c r="C2113" t="s">
        <v>15</v>
      </c>
      <c r="D2113" t="str">
        <f t="shared" si="86"/>
        <v>556904</v>
      </c>
      <c r="E2113" t="s">
        <v>2186</v>
      </c>
      <c r="F2113" t="s">
        <v>9</v>
      </c>
    </row>
    <row r="2114" spans="1:6" x14ac:dyDescent="0.25">
      <c r="A2114" t="str">
        <f>"22735429"</f>
        <v>22735429</v>
      </c>
      <c r="B2114" t="s">
        <v>2284</v>
      </c>
      <c r="C2114" t="s">
        <v>7</v>
      </c>
      <c r="D2114" t="str">
        <f t="shared" si="86"/>
        <v>556904</v>
      </c>
      <c r="E2114" t="s">
        <v>2186</v>
      </c>
      <c r="F2114" t="s">
        <v>29</v>
      </c>
    </row>
    <row r="2115" spans="1:6" x14ac:dyDescent="0.25">
      <c r="A2115" t="str">
        <f>"18380379"</f>
        <v>18380379</v>
      </c>
      <c r="B2115" t="s">
        <v>2285</v>
      </c>
      <c r="C2115" t="s">
        <v>15</v>
      </c>
      <c r="D2115" t="str">
        <f t="shared" si="86"/>
        <v>556904</v>
      </c>
      <c r="E2115" t="s">
        <v>2186</v>
      </c>
      <c r="F2115" t="s">
        <v>9</v>
      </c>
    </row>
    <row r="2116" spans="1:6" x14ac:dyDescent="0.25">
      <c r="A2116" t="str">
        <f>"07232381"</f>
        <v>07232381</v>
      </c>
      <c r="B2116" t="s">
        <v>2286</v>
      </c>
      <c r="C2116" t="s">
        <v>7</v>
      </c>
      <c r="D2116" t="str">
        <f t="shared" si="86"/>
        <v>556904</v>
      </c>
      <c r="E2116" t="s">
        <v>2186</v>
      </c>
      <c r="F2116" t="s">
        <v>35</v>
      </c>
    </row>
    <row r="2117" spans="1:6" x14ac:dyDescent="0.25">
      <c r="A2117" t="str">
        <f>"70226792"</f>
        <v>70226792</v>
      </c>
      <c r="B2117" t="s">
        <v>2287</v>
      </c>
      <c r="C2117" t="s">
        <v>7</v>
      </c>
      <c r="D2117" t="str">
        <f t="shared" si="86"/>
        <v>556904</v>
      </c>
      <c r="E2117" t="s">
        <v>2186</v>
      </c>
      <c r="F2117" t="s">
        <v>11</v>
      </c>
    </row>
    <row r="2118" spans="1:6" x14ac:dyDescent="0.25">
      <c r="A2118" t="str">
        <f>"17209501"</f>
        <v>17209501</v>
      </c>
      <c r="B2118" t="s">
        <v>2288</v>
      </c>
      <c r="C2118" t="s">
        <v>7</v>
      </c>
      <c r="D2118" t="str">
        <f t="shared" si="86"/>
        <v>556904</v>
      </c>
      <c r="E2118" t="s">
        <v>2186</v>
      </c>
      <c r="F2118" t="s">
        <v>11</v>
      </c>
    </row>
    <row r="2119" spans="1:6" x14ac:dyDescent="0.25">
      <c r="A2119" t="str">
        <f>"01608193"</f>
        <v>01608193</v>
      </c>
      <c r="B2119" t="s">
        <v>2289</v>
      </c>
      <c r="C2119" t="s">
        <v>7</v>
      </c>
      <c r="D2119" t="str">
        <f t="shared" si="86"/>
        <v>556904</v>
      </c>
      <c r="E2119" t="s">
        <v>2186</v>
      </c>
      <c r="F2119" t="s">
        <v>35</v>
      </c>
    </row>
    <row r="2120" spans="1:6" x14ac:dyDescent="0.25">
      <c r="A2120" t="str">
        <f>"69388768"</f>
        <v>69388768</v>
      </c>
      <c r="B2120" t="s">
        <v>2290</v>
      </c>
      <c r="C2120" t="s">
        <v>7</v>
      </c>
      <c r="D2120" t="str">
        <f t="shared" si="86"/>
        <v>556904</v>
      </c>
      <c r="E2120" t="s">
        <v>2186</v>
      </c>
      <c r="F2120" t="s">
        <v>254</v>
      </c>
    </row>
    <row r="2121" spans="1:6" x14ac:dyDescent="0.25">
      <c r="A2121" t="str">
        <f>"05231213"</f>
        <v>05231213</v>
      </c>
      <c r="B2121" t="s">
        <v>2291</v>
      </c>
      <c r="C2121" t="s">
        <v>7</v>
      </c>
      <c r="D2121" t="str">
        <f t="shared" si="86"/>
        <v>556904</v>
      </c>
      <c r="E2121" t="s">
        <v>2186</v>
      </c>
      <c r="F2121" t="s">
        <v>35</v>
      </c>
    </row>
    <row r="2122" spans="1:6" x14ac:dyDescent="0.25">
      <c r="A2122" t="str">
        <f>"03390306"</f>
        <v>03390306</v>
      </c>
      <c r="B2122" t="s">
        <v>2292</v>
      </c>
      <c r="C2122" t="s">
        <v>7</v>
      </c>
      <c r="D2122" t="str">
        <f t="shared" si="86"/>
        <v>556904</v>
      </c>
      <c r="E2122" t="s">
        <v>2186</v>
      </c>
      <c r="F2122" t="s">
        <v>11</v>
      </c>
    </row>
    <row r="2123" spans="1:6" x14ac:dyDescent="0.25">
      <c r="A2123" t="str">
        <f>"22884611"</f>
        <v>22884611</v>
      </c>
      <c r="B2123" t="s">
        <v>2293</v>
      </c>
      <c r="C2123" t="s">
        <v>7</v>
      </c>
      <c r="D2123" t="str">
        <f t="shared" si="86"/>
        <v>556904</v>
      </c>
      <c r="E2123" t="s">
        <v>2186</v>
      </c>
      <c r="F2123" t="s">
        <v>11</v>
      </c>
    </row>
    <row r="2124" spans="1:6" x14ac:dyDescent="0.25">
      <c r="A2124" t="str">
        <f>"68378921"</f>
        <v>68378921</v>
      </c>
      <c r="B2124" t="s">
        <v>2294</v>
      </c>
      <c r="C2124" t="s">
        <v>7</v>
      </c>
      <c r="D2124" t="str">
        <f t="shared" si="86"/>
        <v>556904</v>
      </c>
      <c r="E2124" t="s">
        <v>2186</v>
      </c>
      <c r="F2124" t="s">
        <v>11</v>
      </c>
    </row>
    <row r="2125" spans="1:6" x14ac:dyDescent="0.25">
      <c r="A2125" t="str">
        <f>"04282680"</f>
        <v>04282680</v>
      </c>
      <c r="B2125" t="s">
        <v>2295</v>
      </c>
      <c r="C2125" t="s">
        <v>7</v>
      </c>
      <c r="D2125" t="str">
        <f t="shared" si="86"/>
        <v>556904</v>
      </c>
      <c r="E2125" t="s">
        <v>2186</v>
      </c>
      <c r="F2125" t="s">
        <v>62</v>
      </c>
    </row>
    <row r="2126" spans="1:6" x14ac:dyDescent="0.25">
      <c r="A2126" t="str">
        <f>"04815343"</f>
        <v>04815343</v>
      </c>
      <c r="B2126" t="s">
        <v>2296</v>
      </c>
      <c r="C2126" t="s">
        <v>7</v>
      </c>
      <c r="D2126" t="str">
        <f t="shared" si="86"/>
        <v>556904</v>
      </c>
      <c r="E2126" t="s">
        <v>2186</v>
      </c>
      <c r="F2126" t="s">
        <v>11</v>
      </c>
    </row>
    <row r="2127" spans="1:6" x14ac:dyDescent="0.25">
      <c r="A2127" t="str">
        <f>"27040658"</f>
        <v>27040658</v>
      </c>
      <c r="B2127" t="s">
        <v>2297</v>
      </c>
      <c r="C2127" t="s">
        <v>7</v>
      </c>
      <c r="D2127" t="str">
        <f t="shared" si="86"/>
        <v>556904</v>
      </c>
      <c r="E2127" t="s">
        <v>2186</v>
      </c>
      <c r="F2127" t="s">
        <v>9</v>
      </c>
    </row>
    <row r="2128" spans="1:6" x14ac:dyDescent="0.25">
      <c r="A2128" t="str">
        <f>"09740791"</f>
        <v>09740791</v>
      </c>
      <c r="B2128" t="s">
        <v>2298</v>
      </c>
      <c r="C2128" t="s">
        <v>7</v>
      </c>
      <c r="D2128" t="str">
        <f t="shared" si="86"/>
        <v>556904</v>
      </c>
      <c r="E2128" t="s">
        <v>2186</v>
      </c>
      <c r="F2128" t="s">
        <v>13</v>
      </c>
    </row>
    <row r="2129" spans="1:6" x14ac:dyDescent="0.25">
      <c r="A2129" t="str">
        <f>"14869942"</f>
        <v>14869942</v>
      </c>
      <c r="B2129" t="s">
        <v>2299</v>
      </c>
      <c r="C2129" t="s">
        <v>7</v>
      </c>
      <c r="D2129" t="str">
        <f t="shared" si="86"/>
        <v>556904</v>
      </c>
      <c r="E2129" t="s">
        <v>2186</v>
      </c>
      <c r="F2129" t="s">
        <v>11</v>
      </c>
    </row>
    <row r="2130" spans="1:6" x14ac:dyDescent="0.25">
      <c r="A2130" t="str">
        <f>"22802347"</f>
        <v>22802347</v>
      </c>
      <c r="B2130" t="s">
        <v>2300</v>
      </c>
      <c r="C2130" t="s">
        <v>78</v>
      </c>
      <c r="D2130" t="str">
        <f t="shared" si="86"/>
        <v>556904</v>
      </c>
      <c r="E2130" t="s">
        <v>2186</v>
      </c>
      <c r="F2130" t="s">
        <v>1445</v>
      </c>
    </row>
    <row r="2131" spans="1:6" x14ac:dyDescent="0.25">
      <c r="A2131" t="str">
        <f>"28733932"</f>
        <v>28733932</v>
      </c>
      <c r="B2131" t="s">
        <v>2301</v>
      </c>
      <c r="C2131" t="s">
        <v>78</v>
      </c>
      <c r="D2131" t="str">
        <f t="shared" si="86"/>
        <v>556904</v>
      </c>
      <c r="E2131" t="s">
        <v>2186</v>
      </c>
      <c r="F2131" t="s">
        <v>79</v>
      </c>
    </row>
    <row r="2132" spans="1:6" x14ac:dyDescent="0.25">
      <c r="A2132" t="str">
        <f>"21350086"</f>
        <v>21350086</v>
      </c>
      <c r="B2132" t="s">
        <v>2302</v>
      </c>
      <c r="C2132" t="s">
        <v>7</v>
      </c>
      <c r="D2132" t="str">
        <f t="shared" si="86"/>
        <v>556904</v>
      </c>
      <c r="E2132" t="s">
        <v>2186</v>
      </c>
      <c r="F2132" t="s">
        <v>62</v>
      </c>
    </row>
    <row r="2133" spans="1:6" x14ac:dyDescent="0.25">
      <c r="A2133" t="str">
        <f>"26639416"</f>
        <v>26639416</v>
      </c>
      <c r="B2133" t="s">
        <v>2303</v>
      </c>
      <c r="C2133" t="s">
        <v>7</v>
      </c>
      <c r="D2133" t="str">
        <f t="shared" si="86"/>
        <v>556904</v>
      </c>
      <c r="E2133" t="s">
        <v>2186</v>
      </c>
      <c r="F2133" t="s">
        <v>11</v>
      </c>
    </row>
    <row r="2134" spans="1:6" x14ac:dyDescent="0.25">
      <c r="A2134" t="str">
        <f>"06933360"</f>
        <v>06933360</v>
      </c>
      <c r="B2134" t="s">
        <v>2304</v>
      </c>
      <c r="C2134" t="s">
        <v>7</v>
      </c>
      <c r="D2134" t="str">
        <f t="shared" si="86"/>
        <v>556904</v>
      </c>
      <c r="E2134" t="s">
        <v>2186</v>
      </c>
      <c r="F2134" t="s">
        <v>35</v>
      </c>
    </row>
    <row r="2135" spans="1:6" x14ac:dyDescent="0.25">
      <c r="A2135" t="str">
        <f>"05326346"</f>
        <v>05326346</v>
      </c>
      <c r="B2135" t="s">
        <v>2305</v>
      </c>
      <c r="C2135" t="s">
        <v>7</v>
      </c>
      <c r="D2135" t="str">
        <f t="shared" si="86"/>
        <v>556904</v>
      </c>
      <c r="E2135" t="s">
        <v>2186</v>
      </c>
      <c r="F2135" t="s">
        <v>35</v>
      </c>
    </row>
    <row r="2136" spans="1:6" x14ac:dyDescent="0.25">
      <c r="A2136" t="str">
        <f>"09715193"</f>
        <v>09715193</v>
      </c>
      <c r="B2136" t="s">
        <v>2306</v>
      </c>
      <c r="C2136" t="s">
        <v>7</v>
      </c>
      <c r="D2136" t="str">
        <f t="shared" si="86"/>
        <v>556904</v>
      </c>
      <c r="E2136" t="s">
        <v>2186</v>
      </c>
      <c r="F2136" t="s">
        <v>11</v>
      </c>
    </row>
    <row r="2137" spans="1:6" x14ac:dyDescent="0.25">
      <c r="A2137" t="str">
        <f>"27028445"</f>
        <v>27028445</v>
      </c>
      <c r="B2137" t="s">
        <v>2307</v>
      </c>
      <c r="C2137" t="s">
        <v>7</v>
      </c>
      <c r="D2137" t="str">
        <f t="shared" si="86"/>
        <v>556904</v>
      </c>
      <c r="E2137" t="s">
        <v>2186</v>
      </c>
      <c r="F2137" t="s">
        <v>11</v>
      </c>
    </row>
    <row r="2138" spans="1:6" x14ac:dyDescent="0.25">
      <c r="A2138" t="str">
        <f>"11939311"</f>
        <v>11939311</v>
      </c>
      <c r="B2138" t="s">
        <v>2308</v>
      </c>
      <c r="C2138" t="s">
        <v>7</v>
      </c>
      <c r="D2138" t="str">
        <f t="shared" si="86"/>
        <v>556904</v>
      </c>
      <c r="E2138" t="s">
        <v>2186</v>
      </c>
      <c r="F2138" t="s">
        <v>35</v>
      </c>
    </row>
    <row r="2139" spans="1:6" x14ac:dyDescent="0.25">
      <c r="A2139" t="str">
        <f>"06554571"</f>
        <v>06554571</v>
      </c>
      <c r="B2139" t="s">
        <v>2309</v>
      </c>
      <c r="C2139" t="s">
        <v>7</v>
      </c>
      <c r="D2139" t="str">
        <f t="shared" si="86"/>
        <v>556904</v>
      </c>
      <c r="E2139" t="s">
        <v>2186</v>
      </c>
      <c r="F2139" t="s">
        <v>13</v>
      </c>
    </row>
    <row r="2140" spans="1:6" x14ac:dyDescent="0.25">
      <c r="A2140" t="str">
        <f>"26622378"</f>
        <v>26622378</v>
      </c>
      <c r="B2140" t="s">
        <v>2310</v>
      </c>
      <c r="C2140" t="s">
        <v>7</v>
      </c>
      <c r="D2140" t="str">
        <f t="shared" si="86"/>
        <v>556904</v>
      </c>
      <c r="E2140" t="s">
        <v>2186</v>
      </c>
      <c r="F2140" t="s">
        <v>11</v>
      </c>
    </row>
    <row r="2141" spans="1:6" x14ac:dyDescent="0.25">
      <c r="A2141" t="str">
        <f>"28695330"</f>
        <v>28695330</v>
      </c>
      <c r="B2141" t="s">
        <v>2311</v>
      </c>
      <c r="C2141" t="s">
        <v>78</v>
      </c>
      <c r="D2141" t="str">
        <f t="shared" si="86"/>
        <v>556904</v>
      </c>
      <c r="E2141" t="s">
        <v>2186</v>
      </c>
      <c r="F2141" t="s">
        <v>326</v>
      </c>
    </row>
    <row r="2142" spans="1:6" x14ac:dyDescent="0.25">
      <c r="A2142" t="str">
        <f>"22761101"</f>
        <v>22761101</v>
      </c>
      <c r="B2142" t="s">
        <v>2312</v>
      </c>
      <c r="C2142" t="s">
        <v>7</v>
      </c>
      <c r="D2142" t="str">
        <f t="shared" si="86"/>
        <v>556904</v>
      </c>
      <c r="E2142" t="s">
        <v>2186</v>
      </c>
      <c r="F2142" t="s">
        <v>11</v>
      </c>
    </row>
    <row r="2143" spans="1:6" x14ac:dyDescent="0.25">
      <c r="A2143" t="str">
        <f>"02416883"</f>
        <v>02416883</v>
      </c>
      <c r="B2143" t="s">
        <v>2313</v>
      </c>
      <c r="C2143" t="s">
        <v>7</v>
      </c>
      <c r="D2143" t="str">
        <f t="shared" si="86"/>
        <v>556904</v>
      </c>
      <c r="E2143" t="s">
        <v>2186</v>
      </c>
      <c r="F2143" t="s">
        <v>29</v>
      </c>
    </row>
    <row r="2144" spans="1:6" x14ac:dyDescent="0.25">
      <c r="A2144" t="str">
        <f>"26989166"</f>
        <v>26989166</v>
      </c>
      <c r="B2144" t="s">
        <v>2314</v>
      </c>
      <c r="C2144" t="s">
        <v>7</v>
      </c>
      <c r="D2144" t="str">
        <f t="shared" si="86"/>
        <v>556904</v>
      </c>
      <c r="E2144" t="s">
        <v>2186</v>
      </c>
      <c r="F2144" t="s">
        <v>18</v>
      </c>
    </row>
    <row r="2145" spans="1:6" x14ac:dyDescent="0.25">
      <c r="A2145" t="str">
        <f>"70229520"</f>
        <v>70229520</v>
      </c>
      <c r="B2145" t="s">
        <v>2315</v>
      </c>
      <c r="C2145" t="s">
        <v>7</v>
      </c>
      <c r="D2145" t="str">
        <f t="shared" si="86"/>
        <v>556904</v>
      </c>
      <c r="E2145" t="s">
        <v>2186</v>
      </c>
      <c r="F2145" t="s">
        <v>35</v>
      </c>
    </row>
    <row r="2146" spans="1:6" x14ac:dyDescent="0.25">
      <c r="A2146" t="str">
        <f>"08763208"</f>
        <v>08763208</v>
      </c>
      <c r="B2146" t="s">
        <v>2316</v>
      </c>
      <c r="C2146" t="s">
        <v>7</v>
      </c>
      <c r="D2146" t="str">
        <f t="shared" si="86"/>
        <v>556904</v>
      </c>
      <c r="E2146" t="s">
        <v>2186</v>
      </c>
      <c r="F2146" t="s">
        <v>35</v>
      </c>
    </row>
    <row r="2147" spans="1:6" x14ac:dyDescent="0.25">
      <c r="A2147" t="str">
        <f>"07980817"</f>
        <v>07980817</v>
      </c>
      <c r="B2147" t="s">
        <v>2317</v>
      </c>
      <c r="C2147" t="s">
        <v>7</v>
      </c>
      <c r="D2147" t="str">
        <f t="shared" si="86"/>
        <v>556904</v>
      </c>
      <c r="E2147" t="s">
        <v>2186</v>
      </c>
      <c r="F2147" t="s">
        <v>35</v>
      </c>
    </row>
    <row r="2148" spans="1:6" x14ac:dyDescent="0.25">
      <c r="A2148" t="str">
        <f>"27041115"</f>
        <v>27041115</v>
      </c>
      <c r="B2148" t="s">
        <v>2318</v>
      </c>
      <c r="C2148" t="s">
        <v>7</v>
      </c>
      <c r="D2148" t="str">
        <f t="shared" si="86"/>
        <v>556904</v>
      </c>
      <c r="E2148" t="s">
        <v>2186</v>
      </c>
      <c r="F2148" t="s">
        <v>9</v>
      </c>
    </row>
    <row r="2149" spans="1:6" x14ac:dyDescent="0.25">
      <c r="A2149" t="str">
        <f>"22843540"</f>
        <v>22843540</v>
      </c>
      <c r="B2149" t="s">
        <v>2319</v>
      </c>
      <c r="C2149" t="s">
        <v>7</v>
      </c>
      <c r="D2149" t="str">
        <f t="shared" si="86"/>
        <v>556904</v>
      </c>
      <c r="E2149" t="s">
        <v>2186</v>
      </c>
      <c r="F2149" t="s">
        <v>11</v>
      </c>
    </row>
    <row r="2150" spans="1:6" x14ac:dyDescent="0.25">
      <c r="A2150" t="str">
        <f>"22816828"</f>
        <v>22816828</v>
      </c>
      <c r="B2150" t="s">
        <v>2320</v>
      </c>
      <c r="C2150" t="s">
        <v>7</v>
      </c>
      <c r="D2150" t="str">
        <f t="shared" si="86"/>
        <v>556904</v>
      </c>
      <c r="E2150" t="s">
        <v>2186</v>
      </c>
      <c r="F2150" t="s">
        <v>62</v>
      </c>
    </row>
    <row r="2151" spans="1:6" x14ac:dyDescent="0.25">
      <c r="A2151" t="str">
        <f>"07427131"</f>
        <v>07427131</v>
      </c>
      <c r="B2151" t="s">
        <v>2321</v>
      </c>
      <c r="C2151" t="s">
        <v>7</v>
      </c>
      <c r="D2151" t="str">
        <f t="shared" si="86"/>
        <v>556904</v>
      </c>
      <c r="E2151" t="s">
        <v>2186</v>
      </c>
      <c r="F2151" t="s">
        <v>62</v>
      </c>
    </row>
    <row r="2152" spans="1:6" x14ac:dyDescent="0.25">
      <c r="A2152" t="str">
        <f>"68455186"</f>
        <v>68455186</v>
      </c>
      <c r="B2152" t="s">
        <v>2322</v>
      </c>
      <c r="C2152" t="s">
        <v>7</v>
      </c>
      <c r="D2152" t="str">
        <f t="shared" ref="D2152:D2215" si="87">"556904"</f>
        <v>556904</v>
      </c>
      <c r="E2152" t="s">
        <v>2186</v>
      </c>
      <c r="F2152" t="s">
        <v>35</v>
      </c>
    </row>
    <row r="2153" spans="1:6" x14ac:dyDescent="0.25">
      <c r="A2153" t="str">
        <f>"64039595"</f>
        <v>64039595</v>
      </c>
      <c r="B2153" t="s">
        <v>2323</v>
      </c>
      <c r="C2153" t="s">
        <v>7</v>
      </c>
      <c r="D2153" t="str">
        <f t="shared" si="87"/>
        <v>556904</v>
      </c>
      <c r="E2153" t="s">
        <v>2186</v>
      </c>
      <c r="F2153" t="s">
        <v>9</v>
      </c>
    </row>
    <row r="2154" spans="1:6" x14ac:dyDescent="0.25">
      <c r="A2154" t="str">
        <f>"69292256"</f>
        <v>69292256</v>
      </c>
      <c r="B2154" t="s">
        <v>2324</v>
      </c>
      <c r="C2154" t="s">
        <v>7</v>
      </c>
      <c r="D2154" t="str">
        <f t="shared" si="87"/>
        <v>556904</v>
      </c>
      <c r="E2154" t="s">
        <v>2186</v>
      </c>
      <c r="F2154" t="s">
        <v>254</v>
      </c>
    </row>
    <row r="2155" spans="1:6" x14ac:dyDescent="0.25">
      <c r="A2155" t="str">
        <f>"69387915"</f>
        <v>69387915</v>
      </c>
      <c r="B2155" t="s">
        <v>2325</v>
      </c>
      <c r="C2155" t="s">
        <v>7</v>
      </c>
      <c r="D2155" t="str">
        <f t="shared" si="87"/>
        <v>556904</v>
      </c>
      <c r="E2155" t="s">
        <v>2186</v>
      </c>
      <c r="F2155" t="s">
        <v>254</v>
      </c>
    </row>
    <row r="2156" spans="1:6" x14ac:dyDescent="0.25">
      <c r="A2156" t="str">
        <f>"69387630"</f>
        <v>69387630</v>
      </c>
      <c r="B2156" t="s">
        <v>2326</v>
      </c>
      <c r="C2156" t="s">
        <v>7</v>
      </c>
      <c r="D2156" t="str">
        <f t="shared" si="87"/>
        <v>556904</v>
      </c>
      <c r="E2156" t="s">
        <v>2186</v>
      </c>
      <c r="F2156" t="s">
        <v>254</v>
      </c>
    </row>
    <row r="2157" spans="1:6" x14ac:dyDescent="0.25">
      <c r="A2157" t="str">
        <f>"05327377"</f>
        <v>05327377</v>
      </c>
      <c r="B2157" t="s">
        <v>2327</v>
      </c>
      <c r="C2157" t="s">
        <v>7</v>
      </c>
      <c r="D2157" t="str">
        <f t="shared" si="87"/>
        <v>556904</v>
      </c>
      <c r="E2157" t="s">
        <v>2186</v>
      </c>
      <c r="F2157" t="s">
        <v>11</v>
      </c>
    </row>
    <row r="2158" spans="1:6" x14ac:dyDescent="0.25">
      <c r="A2158" t="str">
        <f>"22745475"</f>
        <v>22745475</v>
      </c>
      <c r="B2158" t="s">
        <v>2328</v>
      </c>
      <c r="C2158" t="s">
        <v>7</v>
      </c>
      <c r="D2158" t="str">
        <f t="shared" si="87"/>
        <v>556904</v>
      </c>
      <c r="E2158" t="s">
        <v>2186</v>
      </c>
      <c r="F2158" t="s">
        <v>389</v>
      </c>
    </row>
    <row r="2159" spans="1:6" x14ac:dyDescent="0.25">
      <c r="A2159" t="str">
        <f>"04873009"</f>
        <v>04873009</v>
      </c>
      <c r="B2159" t="s">
        <v>2329</v>
      </c>
      <c r="C2159" t="s">
        <v>7</v>
      </c>
      <c r="D2159" t="str">
        <f t="shared" si="87"/>
        <v>556904</v>
      </c>
      <c r="E2159" t="s">
        <v>2186</v>
      </c>
      <c r="F2159" t="s">
        <v>11</v>
      </c>
    </row>
    <row r="2160" spans="1:6" x14ac:dyDescent="0.25">
      <c r="A2160" t="str">
        <f>"07233850"</f>
        <v>07233850</v>
      </c>
      <c r="B2160" t="s">
        <v>2330</v>
      </c>
      <c r="C2160" t="s">
        <v>27</v>
      </c>
      <c r="D2160" t="str">
        <f t="shared" si="87"/>
        <v>556904</v>
      </c>
      <c r="E2160" t="s">
        <v>2186</v>
      </c>
      <c r="F2160" t="s">
        <v>2331</v>
      </c>
    </row>
    <row r="2161" spans="1:6" x14ac:dyDescent="0.25">
      <c r="A2161" t="str">
        <f>"68455321"</f>
        <v>68455321</v>
      </c>
      <c r="B2161" t="s">
        <v>2332</v>
      </c>
      <c r="C2161" t="s">
        <v>7</v>
      </c>
      <c r="D2161" t="str">
        <f t="shared" si="87"/>
        <v>556904</v>
      </c>
      <c r="E2161" t="s">
        <v>2186</v>
      </c>
      <c r="F2161" t="s">
        <v>11</v>
      </c>
    </row>
    <row r="2162" spans="1:6" x14ac:dyDescent="0.25">
      <c r="A2162" t="str">
        <f>"08083657"</f>
        <v>08083657</v>
      </c>
      <c r="B2162" t="s">
        <v>2333</v>
      </c>
      <c r="C2162" t="s">
        <v>7</v>
      </c>
      <c r="D2162" t="str">
        <f t="shared" si="87"/>
        <v>556904</v>
      </c>
      <c r="E2162" t="s">
        <v>2186</v>
      </c>
      <c r="F2162" t="s">
        <v>11</v>
      </c>
    </row>
    <row r="2163" spans="1:6" x14ac:dyDescent="0.25">
      <c r="A2163" t="str">
        <f>"22171495"</f>
        <v>22171495</v>
      </c>
      <c r="B2163" t="s">
        <v>2334</v>
      </c>
      <c r="C2163" t="s">
        <v>27</v>
      </c>
      <c r="D2163" t="str">
        <f t="shared" si="87"/>
        <v>556904</v>
      </c>
      <c r="E2163" t="s">
        <v>2186</v>
      </c>
      <c r="F2163" t="s">
        <v>183</v>
      </c>
    </row>
    <row r="2164" spans="1:6" x14ac:dyDescent="0.25">
      <c r="A2164" t="str">
        <f>"05678871"</f>
        <v>05678871</v>
      </c>
      <c r="B2164" t="s">
        <v>2335</v>
      </c>
      <c r="C2164" t="s">
        <v>27</v>
      </c>
      <c r="D2164" t="str">
        <f t="shared" si="87"/>
        <v>556904</v>
      </c>
      <c r="E2164" t="s">
        <v>2186</v>
      </c>
      <c r="F2164" t="s">
        <v>11</v>
      </c>
    </row>
    <row r="2165" spans="1:6" x14ac:dyDescent="0.25">
      <c r="A2165" t="str">
        <f>"26994445"</f>
        <v>26994445</v>
      </c>
      <c r="B2165" t="s">
        <v>2336</v>
      </c>
      <c r="C2165" t="s">
        <v>7</v>
      </c>
      <c r="D2165" t="str">
        <f t="shared" si="87"/>
        <v>556904</v>
      </c>
      <c r="E2165" t="s">
        <v>2186</v>
      </c>
      <c r="F2165" t="s">
        <v>2337</v>
      </c>
    </row>
    <row r="2166" spans="1:6" x14ac:dyDescent="0.25">
      <c r="A2166" t="str">
        <f>"28731191"</f>
        <v>28731191</v>
      </c>
      <c r="B2166" t="s">
        <v>2338</v>
      </c>
      <c r="C2166" t="s">
        <v>27</v>
      </c>
      <c r="D2166" t="str">
        <f t="shared" si="87"/>
        <v>556904</v>
      </c>
      <c r="E2166" t="s">
        <v>2186</v>
      </c>
      <c r="F2166" t="s">
        <v>2228</v>
      </c>
    </row>
    <row r="2167" spans="1:6" x14ac:dyDescent="0.25">
      <c r="A2167" t="str">
        <f>"03492605"</f>
        <v>03492605</v>
      </c>
      <c r="B2167" t="s">
        <v>2339</v>
      </c>
      <c r="C2167" t="s">
        <v>27</v>
      </c>
      <c r="D2167" t="str">
        <f t="shared" si="87"/>
        <v>556904</v>
      </c>
      <c r="E2167" t="s">
        <v>2186</v>
      </c>
      <c r="F2167" t="s">
        <v>40</v>
      </c>
    </row>
    <row r="2168" spans="1:6" x14ac:dyDescent="0.25">
      <c r="A2168" t="str">
        <f>"22895647"</f>
        <v>22895647</v>
      </c>
      <c r="B2168" t="s">
        <v>2340</v>
      </c>
      <c r="C2168" t="s">
        <v>7</v>
      </c>
      <c r="D2168" t="str">
        <f t="shared" si="87"/>
        <v>556904</v>
      </c>
      <c r="E2168" t="s">
        <v>2186</v>
      </c>
      <c r="F2168" t="s">
        <v>11</v>
      </c>
    </row>
    <row r="2169" spans="1:6" x14ac:dyDescent="0.25">
      <c r="A2169" t="str">
        <f>"22890866"</f>
        <v>22890866</v>
      </c>
      <c r="B2169" t="s">
        <v>2341</v>
      </c>
      <c r="C2169" t="s">
        <v>7</v>
      </c>
      <c r="D2169" t="str">
        <f t="shared" si="87"/>
        <v>556904</v>
      </c>
      <c r="E2169" t="s">
        <v>2186</v>
      </c>
      <c r="F2169" t="s">
        <v>11</v>
      </c>
    </row>
    <row r="2170" spans="1:6" x14ac:dyDescent="0.25">
      <c r="A2170" t="str">
        <f>"26593980"</f>
        <v>26593980</v>
      </c>
      <c r="B2170" t="s">
        <v>2342</v>
      </c>
      <c r="C2170" t="s">
        <v>78</v>
      </c>
      <c r="D2170" t="str">
        <f t="shared" si="87"/>
        <v>556904</v>
      </c>
      <c r="E2170" t="s">
        <v>2186</v>
      </c>
      <c r="F2170" t="s">
        <v>268</v>
      </c>
    </row>
    <row r="2171" spans="1:6" x14ac:dyDescent="0.25">
      <c r="A2171" t="str">
        <f>"05259266"</f>
        <v>05259266</v>
      </c>
      <c r="B2171" t="s">
        <v>2343</v>
      </c>
      <c r="C2171" t="s">
        <v>27</v>
      </c>
      <c r="D2171" t="str">
        <f t="shared" si="87"/>
        <v>556904</v>
      </c>
      <c r="E2171" t="s">
        <v>2186</v>
      </c>
      <c r="F2171" t="s">
        <v>40</v>
      </c>
    </row>
    <row r="2172" spans="1:6" x14ac:dyDescent="0.25">
      <c r="A2172" t="str">
        <f>"65642473"</f>
        <v>65642473</v>
      </c>
      <c r="B2172" t="s">
        <v>2344</v>
      </c>
      <c r="C2172" t="s">
        <v>7</v>
      </c>
      <c r="D2172" t="str">
        <f t="shared" si="87"/>
        <v>556904</v>
      </c>
      <c r="E2172" t="s">
        <v>2186</v>
      </c>
      <c r="F2172" t="s">
        <v>9</v>
      </c>
    </row>
    <row r="2173" spans="1:6" x14ac:dyDescent="0.25">
      <c r="A2173" t="str">
        <f>"26627957"</f>
        <v>26627957</v>
      </c>
      <c r="B2173" t="s">
        <v>2345</v>
      </c>
      <c r="C2173" t="s">
        <v>7</v>
      </c>
      <c r="D2173" t="str">
        <f t="shared" si="87"/>
        <v>556904</v>
      </c>
      <c r="E2173" t="s">
        <v>2186</v>
      </c>
      <c r="F2173" t="s">
        <v>11</v>
      </c>
    </row>
    <row r="2174" spans="1:6" x14ac:dyDescent="0.25">
      <c r="A2174" t="str">
        <f>"28553136"</f>
        <v>28553136</v>
      </c>
      <c r="B2174" t="s">
        <v>2346</v>
      </c>
      <c r="C2174" t="s">
        <v>7</v>
      </c>
      <c r="D2174" t="str">
        <f t="shared" si="87"/>
        <v>556904</v>
      </c>
      <c r="E2174" t="s">
        <v>2186</v>
      </c>
      <c r="F2174" t="s">
        <v>13</v>
      </c>
    </row>
    <row r="2175" spans="1:6" x14ac:dyDescent="0.25">
      <c r="A2175" t="str">
        <f>"27043860"</f>
        <v>27043860</v>
      </c>
      <c r="B2175" t="s">
        <v>2347</v>
      </c>
      <c r="C2175" t="s">
        <v>7</v>
      </c>
      <c r="D2175" t="str">
        <f t="shared" si="87"/>
        <v>556904</v>
      </c>
      <c r="E2175" t="s">
        <v>2186</v>
      </c>
      <c r="F2175" t="s">
        <v>11</v>
      </c>
    </row>
    <row r="2176" spans="1:6" x14ac:dyDescent="0.25">
      <c r="A2176" t="str">
        <f>"70694079"</f>
        <v>70694079</v>
      </c>
      <c r="B2176" t="s">
        <v>2348</v>
      </c>
      <c r="C2176" t="s">
        <v>7</v>
      </c>
      <c r="D2176" t="str">
        <f t="shared" si="87"/>
        <v>556904</v>
      </c>
      <c r="E2176" t="s">
        <v>2186</v>
      </c>
      <c r="F2176" t="s">
        <v>11</v>
      </c>
    </row>
    <row r="2177" spans="1:6" x14ac:dyDescent="0.25">
      <c r="A2177" t="str">
        <f>"26520699"</f>
        <v>26520699</v>
      </c>
      <c r="B2177" t="s">
        <v>2349</v>
      </c>
      <c r="C2177" t="s">
        <v>43</v>
      </c>
      <c r="D2177" t="str">
        <f t="shared" si="87"/>
        <v>556904</v>
      </c>
      <c r="E2177" t="s">
        <v>2186</v>
      </c>
      <c r="F2177" t="s">
        <v>2350</v>
      </c>
    </row>
    <row r="2178" spans="1:6" x14ac:dyDescent="0.25">
      <c r="A2178" t="str">
        <f>"06718825"</f>
        <v>06718825</v>
      </c>
      <c r="B2178" t="s">
        <v>2351</v>
      </c>
      <c r="C2178" t="s">
        <v>7</v>
      </c>
      <c r="D2178" t="str">
        <f t="shared" si="87"/>
        <v>556904</v>
      </c>
      <c r="E2178" t="s">
        <v>2186</v>
      </c>
      <c r="F2178" t="s">
        <v>11</v>
      </c>
    </row>
    <row r="2179" spans="1:6" x14ac:dyDescent="0.25">
      <c r="A2179" t="str">
        <f>"07903138"</f>
        <v>07903138</v>
      </c>
      <c r="B2179" t="s">
        <v>2352</v>
      </c>
      <c r="C2179" t="s">
        <v>7</v>
      </c>
      <c r="D2179" t="str">
        <f t="shared" si="87"/>
        <v>556904</v>
      </c>
      <c r="E2179" t="s">
        <v>2186</v>
      </c>
      <c r="F2179" t="s">
        <v>18</v>
      </c>
    </row>
    <row r="2180" spans="1:6" x14ac:dyDescent="0.25">
      <c r="A2180" t="str">
        <f>"22872655"</f>
        <v>22872655</v>
      </c>
      <c r="B2180" t="s">
        <v>2353</v>
      </c>
      <c r="C2180" t="s">
        <v>7</v>
      </c>
      <c r="D2180" t="str">
        <f t="shared" si="87"/>
        <v>556904</v>
      </c>
      <c r="E2180" t="s">
        <v>2186</v>
      </c>
      <c r="F2180" t="s">
        <v>11</v>
      </c>
    </row>
    <row r="2181" spans="1:6" x14ac:dyDescent="0.25">
      <c r="A2181" t="str">
        <f>"17056292"</f>
        <v>17056292</v>
      </c>
      <c r="B2181" t="s">
        <v>2354</v>
      </c>
      <c r="C2181" t="s">
        <v>43</v>
      </c>
      <c r="D2181" t="str">
        <f t="shared" si="87"/>
        <v>556904</v>
      </c>
      <c r="E2181" t="s">
        <v>2186</v>
      </c>
      <c r="F2181" t="s">
        <v>44</v>
      </c>
    </row>
    <row r="2182" spans="1:6" x14ac:dyDescent="0.25">
      <c r="A2182" t="str">
        <f>"68299613"</f>
        <v>68299613</v>
      </c>
      <c r="B2182" t="s">
        <v>2355</v>
      </c>
      <c r="C2182" t="s">
        <v>7</v>
      </c>
      <c r="D2182" t="str">
        <f t="shared" si="87"/>
        <v>556904</v>
      </c>
      <c r="E2182" t="s">
        <v>2186</v>
      </c>
      <c r="F2182" t="s">
        <v>11</v>
      </c>
    </row>
    <row r="2183" spans="1:6" x14ac:dyDescent="0.25">
      <c r="A2183" t="str">
        <f>"09050175"</f>
        <v>09050175</v>
      </c>
      <c r="B2183" t="s">
        <v>2356</v>
      </c>
      <c r="C2183" t="s">
        <v>7</v>
      </c>
      <c r="D2183" t="str">
        <f t="shared" si="87"/>
        <v>556904</v>
      </c>
      <c r="E2183" t="s">
        <v>2186</v>
      </c>
      <c r="F2183" t="s">
        <v>11</v>
      </c>
    </row>
    <row r="2184" spans="1:6" x14ac:dyDescent="0.25">
      <c r="A2184" t="str">
        <f>"22823646"</f>
        <v>22823646</v>
      </c>
      <c r="B2184" t="s">
        <v>2357</v>
      </c>
      <c r="C2184" t="s">
        <v>7</v>
      </c>
      <c r="D2184" t="str">
        <f t="shared" si="87"/>
        <v>556904</v>
      </c>
      <c r="E2184" t="s">
        <v>2186</v>
      </c>
      <c r="F2184" t="s">
        <v>35</v>
      </c>
    </row>
    <row r="2185" spans="1:6" x14ac:dyDescent="0.25">
      <c r="A2185" t="str">
        <f>"27031641"</f>
        <v>27031641</v>
      </c>
      <c r="B2185" t="s">
        <v>2358</v>
      </c>
      <c r="C2185" t="s">
        <v>7</v>
      </c>
      <c r="D2185" t="str">
        <f t="shared" si="87"/>
        <v>556904</v>
      </c>
      <c r="E2185" t="s">
        <v>2186</v>
      </c>
      <c r="F2185" t="s">
        <v>389</v>
      </c>
    </row>
    <row r="2186" spans="1:6" x14ac:dyDescent="0.25">
      <c r="A2186" t="str">
        <f>"22736221"</f>
        <v>22736221</v>
      </c>
      <c r="B2186" t="s">
        <v>2359</v>
      </c>
      <c r="C2186" t="s">
        <v>7</v>
      </c>
      <c r="D2186" t="str">
        <f t="shared" si="87"/>
        <v>556904</v>
      </c>
      <c r="E2186" t="s">
        <v>2186</v>
      </c>
      <c r="F2186" t="s">
        <v>11</v>
      </c>
    </row>
    <row r="2187" spans="1:6" x14ac:dyDescent="0.25">
      <c r="A2187" t="str">
        <f>"07781652"</f>
        <v>07781652</v>
      </c>
      <c r="B2187" t="s">
        <v>2360</v>
      </c>
      <c r="C2187" t="s">
        <v>7</v>
      </c>
      <c r="D2187" t="str">
        <f t="shared" si="87"/>
        <v>556904</v>
      </c>
      <c r="E2187" t="s">
        <v>2186</v>
      </c>
      <c r="F2187" t="s">
        <v>11</v>
      </c>
    </row>
    <row r="2188" spans="1:6" x14ac:dyDescent="0.25">
      <c r="A2188" t="str">
        <f>"69410801"</f>
        <v>69410801</v>
      </c>
      <c r="B2188" t="s">
        <v>2361</v>
      </c>
      <c r="C2188" t="s">
        <v>7</v>
      </c>
      <c r="D2188" t="str">
        <f t="shared" si="87"/>
        <v>556904</v>
      </c>
      <c r="E2188" t="s">
        <v>2186</v>
      </c>
      <c r="F2188" t="s">
        <v>11</v>
      </c>
    </row>
    <row r="2189" spans="1:6" x14ac:dyDescent="0.25">
      <c r="A2189" t="str">
        <f>"05307520"</f>
        <v>05307520</v>
      </c>
      <c r="B2189" t="s">
        <v>2362</v>
      </c>
      <c r="C2189" t="s">
        <v>7</v>
      </c>
      <c r="D2189" t="str">
        <f t="shared" si="87"/>
        <v>556904</v>
      </c>
      <c r="E2189" t="s">
        <v>2186</v>
      </c>
      <c r="F2189" t="s">
        <v>13</v>
      </c>
    </row>
    <row r="2190" spans="1:6" x14ac:dyDescent="0.25">
      <c r="A2190" t="str">
        <f>"19582765"</f>
        <v>19582765</v>
      </c>
      <c r="B2190" t="s">
        <v>2363</v>
      </c>
      <c r="C2190" t="s">
        <v>7</v>
      </c>
      <c r="D2190" t="str">
        <f t="shared" si="87"/>
        <v>556904</v>
      </c>
      <c r="E2190" t="s">
        <v>2186</v>
      </c>
      <c r="F2190" t="s">
        <v>11</v>
      </c>
    </row>
    <row r="2191" spans="1:6" x14ac:dyDescent="0.25">
      <c r="A2191" t="str">
        <f>"65100701"</f>
        <v>65100701</v>
      </c>
      <c r="B2191" t="s">
        <v>2364</v>
      </c>
      <c r="C2191" t="s">
        <v>7</v>
      </c>
      <c r="D2191" t="str">
        <f t="shared" si="87"/>
        <v>556904</v>
      </c>
      <c r="E2191" t="s">
        <v>2186</v>
      </c>
      <c r="F2191" t="s">
        <v>381</v>
      </c>
    </row>
    <row r="2192" spans="1:6" x14ac:dyDescent="0.25">
      <c r="A2192" t="str">
        <f>"68955065"</f>
        <v>68955065</v>
      </c>
      <c r="B2192" t="s">
        <v>2365</v>
      </c>
      <c r="C2192" t="s">
        <v>7</v>
      </c>
      <c r="D2192" t="str">
        <f t="shared" si="87"/>
        <v>556904</v>
      </c>
      <c r="E2192" t="s">
        <v>2186</v>
      </c>
      <c r="F2192" t="s">
        <v>35</v>
      </c>
    </row>
    <row r="2193" spans="1:6" x14ac:dyDescent="0.25">
      <c r="A2193" t="str">
        <f>"07189087"</f>
        <v>07189087</v>
      </c>
      <c r="B2193" t="s">
        <v>2366</v>
      </c>
      <c r="C2193" t="s">
        <v>7</v>
      </c>
      <c r="D2193" t="str">
        <f t="shared" si="87"/>
        <v>556904</v>
      </c>
      <c r="E2193" t="s">
        <v>2186</v>
      </c>
      <c r="F2193" t="s">
        <v>11</v>
      </c>
    </row>
    <row r="2194" spans="1:6" x14ac:dyDescent="0.25">
      <c r="A2194" t="str">
        <f>"46745777"</f>
        <v>46745777</v>
      </c>
      <c r="B2194" t="s">
        <v>2367</v>
      </c>
      <c r="C2194" t="s">
        <v>7</v>
      </c>
      <c r="D2194" t="str">
        <f t="shared" si="87"/>
        <v>556904</v>
      </c>
      <c r="E2194" t="s">
        <v>2186</v>
      </c>
      <c r="F2194" t="s">
        <v>381</v>
      </c>
    </row>
    <row r="2195" spans="1:6" x14ac:dyDescent="0.25">
      <c r="A2195" t="str">
        <f>"02475235"</f>
        <v>02475235</v>
      </c>
      <c r="B2195" t="s">
        <v>2368</v>
      </c>
      <c r="C2195" t="s">
        <v>78</v>
      </c>
      <c r="D2195" t="str">
        <f t="shared" si="87"/>
        <v>556904</v>
      </c>
      <c r="E2195" t="s">
        <v>2186</v>
      </c>
      <c r="F2195" t="s">
        <v>11</v>
      </c>
    </row>
    <row r="2196" spans="1:6" x14ac:dyDescent="0.25">
      <c r="A2196" t="str">
        <f>"22607722"</f>
        <v>22607722</v>
      </c>
      <c r="B2196" t="s">
        <v>2369</v>
      </c>
      <c r="C2196" t="s">
        <v>15</v>
      </c>
      <c r="D2196" t="str">
        <f t="shared" si="87"/>
        <v>556904</v>
      </c>
      <c r="E2196" t="s">
        <v>2186</v>
      </c>
      <c r="F2196" t="s">
        <v>11</v>
      </c>
    </row>
    <row r="2197" spans="1:6" x14ac:dyDescent="0.25">
      <c r="A2197" t="str">
        <f>"46748032"</f>
        <v>46748032</v>
      </c>
      <c r="B2197" t="s">
        <v>2370</v>
      </c>
      <c r="C2197" t="s">
        <v>7</v>
      </c>
      <c r="D2197" t="str">
        <f t="shared" si="87"/>
        <v>556904</v>
      </c>
      <c r="E2197" t="s">
        <v>2186</v>
      </c>
      <c r="F2197" t="s">
        <v>379</v>
      </c>
    </row>
    <row r="2198" spans="1:6" x14ac:dyDescent="0.25">
      <c r="A2198" t="str">
        <f>"27032965"</f>
        <v>27032965</v>
      </c>
      <c r="B2198" t="s">
        <v>2371</v>
      </c>
      <c r="C2198" t="s">
        <v>7</v>
      </c>
      <c r="D2198" t="str">
        <f t="shared" si="87"/>
        <v>556904</v>
      </c>
      <c r="E2198" t="s">
        <v>2186</v>
      </c>
      <c r="F2198" t="s">
        <v>11</v>
      </c>
    </row>
    <row r="2199" spans="1:6" x14ac:dyDescent="0.25">
      <c r="A2199" t="str">
        <f>"14378591"</f>
        <v>14378591</v>
      </c>
      <c r="B2199" t="s">
        <v>2372</v>
      </c>
      <c r="C2199" t="s">
        <v>7</v>
      </c>
      <c r="D2199" t="str">
        <f t="shared" si="87"/>
        <v>556904</v>
      </c>
      <c r="E2199" t="s">
        <v>2186</v>
      </c>
      <c r="F2199" t="s">
        <v>62</v>
      </c>
    </row>
    <row r="2200" spans="1:6" x14ac:dyDescent="0.25">
      <c r="A2200" t="str">
        <f>"22720294"</f>
        <v>22720294</v>
      </c>
      <c r="B2200" t="s">
        <v>2373</v>
      </c>
      <c r="C2200" t="s">
        <v>7</v>
      </c>
      <c r="D2200" t="str">
        <f t="shared" si="87"/>
        <v>556904</v>
      </c>
      <c r="E2200" t="s">
        <v>2186</v>
      </c>
      <c r="F2200" t="s">
        <v>9</v>
      </c>
    </row>
    <row r="2201" spans="1:6" x14ac:dyDescent="0.25">
      <c r="A2201" t="str">
        <f>"26572834"</f>
        <v>26572834</v>
      </c>
      <c r="B2201" t="s">
        <v>2374</v>
      </c>
      <c r="C2201" t="s">
        <v>7</v>
      </c>
      <c r="D2201" t="str">
        <f t="shared" si="87"/>
        <v>556904</v>
      </c>
      <c r="E2201" t="s">
        <v>2186</v>
      </c>
      <c r="F2201" t="s">
        <v>13</v>
      </c>
    </row>
    <row r="2202" spans="1:6" x14ac:dyDescent="0.25">
      <c r="A2202" t="str">
        <f>"02367912"</f>
        <v>02367912</v>
      </c>
      <c r="B2202" t="s">
        <v>2375</v>
      </c>
      <c r="C2202" t="s">
        <v>7</v>
      </c>
      <c r="D2202" t="str">
        <f t="shared" si="87"/>
        <v>556904</v>
      </c>
      <c r="E2202" t="s">
        <v>2186</v>
      </c>
      <c r="F2202" t="s">
        <v>11</v>
      </c>
    </row>
    <row r="2203" spans="1:6" x14ac:dyDescent="0.25">
      <c r="A2203" t="str">
        <f>"27042952"</f>
        <v>27042952</v>
      </c>
      <c r="B2203" t="s">
        <v>2376</v>
      </c>
      <c r="C2203" t="s">
        <v>7</v>
      </c>
      <c r="D2203" t="str">
        <f t="shared" si="87"/>
        <v>556904</v>
      </c>
      <c r="E2203" t="s">
        <v>2186</v>
      </c>
      <c r="F2203" t="s">
        <v>865</v>
      </c>
    </row>
    <row r="2204" spans="1:6" x14ac:dyDescent="0.25">
      <c r="A2204" t="str">
        <f>"21625891"</f>
        <v>21625891</v>
      </c>
      <c r="B2204" t="s">
        <v>2377</v>
      </c>
      <c r="C2204" t="s">
        <v>7</v>
      </c>
      <c r="D2204" t="str">
        <f t="shared" si="87"/>
        <v>556904</v>
      </c>
      <c r="E2204" t="s">
        <v>2186</v>
      </c>
      <c r="F2204" t="s">
        <v>11</v>
      </c>
    </row>
    <row r="2205" spans="1:6" x14ac:dyDescent="0.25">
      <c r="A2205" t="str">
        <f>"68975236"</f>
        <v>68975236</v>
      </c>
      <c r="B2205" t="s">
        <v>2378</v>
      </c>
      <c r="C2205" t="s">
        <v>7</v>
      </c>
      <c r="D2205" t="str">
        <f t="shared" si="87"/>
        <v>556904</v>
      </c>
      <c r="E2205" t="s">
        <v>2186</v>
      </c>
      <c r="F2205" t="s">
        <v>35</v>
      </c>
    </row>
    <row r="2206" spans="1:6" x14ac:dyDescent="0.25">
      <c r="A2206" t="str">
        <f>"70812977"</f>
        <v>70812977</v>
      </c>
      <c r="B2206" t="s">
        <v>2379</v>
      </c>
      <c r="C2206" t="s">
        <v>7</v>
      </c>
      <c r="D2206" t="str">
        <f t="shared" si="87"/>
        <v>556904</v>
      </c>
      <c r="E2206" t="s">
        <v>2186</v>
      </c>
      <c r="F2206" t="s">
        <v>35</v>
      </c>
    </row>
    <row r="2207" spans="1:6" x14ac:dyDescent="0.25">
      <c r="A2207" t="str">
        <f>"22751548"</f>
        <v>22751548</v>
      </c>
      <c r="B2207" t="s">
        <v>2380</v>
      </c>
      <c r="C2207" t="s">
        <v>7</v>
      </c>
      <c r="D2207" t="str">
        <f t="shared" si="87"/>
        <v>556904</v>
      </c>
      <c r="E2207" t="s">
        <v>2186</v>
      </c>
      <c r="F2207" t="s">
        <v>35</v>
      </c>
    </row>
    <row r="2208" spans="1:6" x14ac:dyDescent="0.25">
      <c r="A2208" t="str">
        <f>"06736777"</f>
        <v>06736777</v>
      </c>
      <c r="B2208" t="s">
        <v>2381</v>
      </c>
      <c r="C2208" t="s">
        <v>7</v>
      </c>
      <c r="D2208" t="str">
        <f t="shared" si="87"/>
        <v>556904</v>
      </c>
      <c r="E2208" t="s">
        <v>2186</v>
      </c>
      <c r="F2208" t="s">
        <v>62</v>
      </c>
    </row>
    <row r="2209" spans="1:6" x14ac:dyDescent="0.25">
      <c r="A2209" t="str">
        <f>"65100484"</f>
        <v>65100484</v>
      </c>
      <c r="B2209" t="s">
        <v>2382</v>
      </c>
      <c r="C2209" t="s">
        <v>15</v>
      </c>
      <c r="D2209" t="str">
        <f t="shared" si="87"/>
        <v>556904</v>
      </c>
      <c r="E2209" t="s">
        <v>2186</v>
      </c>
      <c r="F2209" t="s">
        <v>9</v>
      </c>
    </row>
    <row r="2210" spans="1:6" x14ac:dyDescent="0.25">
      <c r="A2210" t="str">
        <f>"03457435"</f>
        <v>03457435</v>
      </c>
      <c r="B2210" t="s">
        <v>2383</v>
      </c>
      <c r="C2210" t="s">
        <v>7</v>
      </c>
      <c r="D2210" t="str">
        <f t="shared" si="87"/>
        <v>556904</v>
      </c>
      <c r="E2210" t="s">
        <v>2186</v>
      </c>
      <c r="F2210" t="s">
        <v>29</v>
      </c>
    </row>
    <row r="2211" spans="1:6" x14ac:dyDescent="0.25">
      <c r="A2211" t="str">
        <f>"22676741"</f>
        <v>22676741</v>
      </c>
      <c r="B2211" t="s">
        <v>2384</v>
      </c>
      <c r="C2211" t="s">
        <v>7</v>
      </c>
      <c r="D2211" t="str">
        <f t="shared" si="87"/>
        <v>556904</v>
      </c>
      <c r="E2211" t="s">
        <v>2186</v>
      </c>
      <c r="F2211" t="s">
        <v>11</v>
      </c>
    </row>
    <row r="2212" spans="1:6" x14ac:dyDescent="0.25">
      <c r="A2212" t="str">
        <f>"27007804"</f>
        <v>27007804</v>
      </c>
      <c r="B2212" t="s">
        <v>2385</v>
      </c>
      <c r="C2212" t="s">
        <v>7</v>
      </c>
      <c r="D2212" t="str">
        <f t="shared" si="87"/>
        <v>556904</v>
      </c>
      <c r="E2212" t="s">
        <v>2186</v>
      </c>
      <c r="F2212" t="s">
        <v>9</v>
      </c>
    </row>
    <row r="2213" spans="1:6" x14ac:dyDescent="0.25">
      <c r="A2213" t="str">
        <f>"17545269"</f>
        <v>17545269</v>
      </c>
      <c r="B2213" t="s">
        <v>2386</v>
      </c>
      <c r="C2213" t="s">
        <v>7</v>
      </c>
      <c r="D2213" t="str">
        <f t="shared" si="87"/>
        <v>556904</v>
      </c>
      <c r="E2213" t="s">
        <v>2186</v>
      </c>
      <c r="F2213" t="s">
        <v>62</v>
      </c>
    </row>
    <row r="2214" spans="1:6" x14ac:dyDescent="0.25">
      <c r="A2214" t="str">
        <f>"27344240"</f>
        <v>27344240</v>
      </c>
      <c r="B2214" t="s">
        <v>2387</v>
      </c>
      <c r="C2214" t="s">
        <v>78</v>
      </c>
      <c r="D2214" t="str">
        <f t="shared" si="87"/>
        <v>556904</v>
      </c>
      <c r="E2214" t="s">
        <v>2186</v>
      </c>
      <c r="F2214" t="s">
        <v>2262</v>
      </c>
    </row>
    <row r="2215" spans="1:6" x14ac:dyDescent="0.25">
      <c r="A2215" t="str">
        <f>"46748555"</f>
        <v>46748555</v>
      </c>
      <c r="B2215" t="s">
        <v>2388</v>
      </c>
      <c r="C2215" t="s">
        <v>15</v>
      </c>
      <c r="D2215" t="str">
        <f t="shared" si="87"/>
        <v>556904</v>
      </c>
      <c r="E2215" t="s">
        <v>2186</v>
      </c>
      <c r="F2215" t="s">
        <v>9</v>
      </c>
    </row>
    <row r="2216" spans="1:6" x14ac:dyDescent="0.25">
      <c r="A2216" t="str">
        <f>"22732438"</f>
        <v>22732438</v>
      </c>
      <c r="B2216" t="s">
        <v>2389</v>
      </c>
      <c r="C2216" t="s">
        <v>7</v>
      </c>
      <c r="D2216" t="str">
        <f t="shared" ref="D2216:D2279" si="88">"556904"</f>
        <v>556904</v>
      </c>
      <c r="E2216" t="s">
        <v>2186</v>
      </c>
      <c r="F2216" t="s">
        <v>9</v>
      </c>
    </row>
    <row r="2217" spans="1:6" x14ac:dyDescent="0.25">
      <c r="A2217" t="str">
        <f>"05605024"</f>
        <v>05605024</v>
      </c>
      <c r="B2217" t="s">
        <v>2390</v>
      </c>
      <c r="C2217" t="s">
        <v>7</v>
      </c>
      <c r="D2217" t="str">
        <f t="shared" si="88"/>
        <v>556904</v>
      </c>
      <c r="E2217" t="s">
        <v>2186</v>
      </c>
      <c r="F2217" t="s">
        <v>865</v>
      </c>
    </row>
    <row r="2218" spans="1:6" x14ac:dyDescent="0.25">
      <c r="A2218" t="str">
        <f>"00435171"</f>
        <v>00435171</v>
      </c>
      <c r="B2218" t="s">
        <v>2391</v>
      </c>
      <c r="C2218" t="s">
        <v>7</v>
      </c>
      <c r="D2218" t="str">
        <f t="shared" si="88"/>
        <v>556904</v>
      </c>
      <c r="E2218" t="s">
        <v>2186</v>
      </c>
      <c r="F2218" t="s">
        <v>2392</v>
      </c>
    </row>
    <row r="2219" spans="1:6" x14ac:dyDescent="0.25">
      <c r="A2219" t="str">
        <f>"63155834"</f>
        <v>63155834</v>
      </c>
      <c r="B2219" t="s">
        <v>2393</v>
      </c>
      <c r="C2219" t="s">
        <v>7</v>
      </c>
      <c r="D2219" t="str">
        <f t="shared" si="88"/>
        <v>556904</v>
      </c>
      <c r="E2219" t="s">
        <v>2186</v>
      </c>
      <c r="F2219" t="s">
        <v>65</v>
      </c>
    </row>
    <row r="2220" spans="1:6" x14ac:dyDescent="0.25">
      <c r="A2220" t="str">
        <f>"22904841"</f>
        <v>22904841</v>
      </c>
      <c r="B2220" t="s">
        <v>2394</v>
      </c>
      <c r="C2220" t="s">
        <v>7</v>
      </c>
      <c r="D2220" t="str">
        <f t="shared" si="88"/>
        <v>556904</v>
      </c>
      <c r="E2220" t="s">
        <v>2186</v>
      </c>
      <c r="F2220" t="s">
        <v>11</v>
      </c>
    </row>
    <row r="2221" spans="1:6" x14ac:dyDescent="0.25">
      <c r="A2221" t="str">
        <f>"06398758"</f>
        <v>06398758</v>
      </c>
      <c r="B2221" t="s">
        <v>2395</v>
      </c>
      <c r="C2221" t="s">
        <v>7</v>
      </c>
      <c r="D2221" t="str">
        <f t="shared" si="88"/>
        <v>556904</v>
      </c>
      <c r="E2221" t="s">
        <v>2186</v>
      </c>
      <c r="F2221" t="s">
        <v>62</v>
      </c>
    </row>
    <row r="2222" spans="1:6" x14ac:dyDescent="0.25">
      <c r="A2222" t="str">
        <f>"26580420"</f>
        <v>26580420</v>
      </c>
      <c r="B2222" t="s">
        <v>2396</v>
      </c>
      <c r="C2222" t="s">
        <v>7</v>
      </c>
      <c r="D2222" t="str">
        <f t="shared" si="88"/>
        <v>556904</v>
      </c>
      <c r="E2222" t="s">
        <v>2186</v>
      </c>
      <c r="F2222" t="s">
        <v>9</v>
      </c>
    </row>
    <row r="2223" spans="1:6" x14ac:dyDescent="0.25">
      <c r="A2223" t="str">
        <f>"01299999"</f>
        <v>01299999</v>
      </c>
      <c r="B2223" t="s">
        <v>2397</v>
      </c>
      <c r="C2223" t="s">
        <v>7</v>
      </c>
      <c r="D2223" t="str">
        <f t="shared" si="88"/>
        <v>556904</v>
      </c>
      <c r="E2223" t="s">
        <v>2186</v>
      </c>
      <c r="F2223" t="s">
        <v>29</v>
      </c>
    </row>
    <row r="2224" spans="1:6" x14ac:dyDescent="0.25">
      <c r="A2224" t="str">
        <f>"46744053"</f>
        <v>46744053</v>
      </c>
      <c r="B2224" t="s">
        <v>2398</v>
      </c>
      <c r="C2224" t="s">
        <v>1134</v>
      </c>
      <c r="D2224" t="str">
        <f t="shared" si="88"/>
        <v>556904</v>
      </c>
      <c r="E2224" t="s">
        <v>2186</v>
      </c>
      <c r="F2224" t="s">
        <v>389</v>
      </c>
    </row>
    <row r="2225" spans="1:6" x14ac:dyDescent="0.25">
      <c r="A2225" t="str">
        <f>"04482506"</f>
        <v>04482506</v>
      </c>
      <c r="B2225" t="s">
        <v>2399</v>
      </c>
      <c r="C2225" t="s">
        <v>15</v>
      </c>
      <c r="D2225" t="str">
        <f t="shared" si="88"/>
        <v>556904</v>
      </c>
      <c r="E2225" t="s">
        <v>2186</v>
      </c>
      <c r="F2225" t="s">
        <v>11</v>
      </c>
    </row>
    <row r="2226" spans="1:6" x14ac:dyDescent="0.25">
      <c r="A2226" t="str">
        <f>"64040470"</f>
        <v>64040470</v>
      </c>
      <c r="B2226" t="s">
        <v>2400</v>
      </c>
      <c r="C2226" t="s">
        <v>15</v>
      </c>
      <c r="D2226" t="str">
        <f t="shared" si="88"/>
        <v>556904</v>
      </c>
      <c r="E2226" t="s">
        <v>2186</v>
      </c>
      <c r="F2226" t="s">
        <v>11</v>
      </c>
    </row>
    <row r="2227" spans="1:6" x14ac:dyDescent="0.25">
      <c r="A2227" t="str">
        <f>"04470656"</f>
        <v>04470656</v>
      </c>
      <c r="B2227" t="s">
        <v>2401</v>
      </c>
      <c r="C2227" t="s">
        <v>15</v>
      </c>
      <c r="D2227" t="str">
        <f t="shared" si="88"/>
        <v>556904</v>
      </c>
      <c r="E2227" t="s">
        <v>2186</v>
      </c>
      <c r="F2227" t="s">
        <v>11</v>
      </c>
    </row>
    <row r="2228" spans="1:6" x14ac:dyDescent="0.25">
      <c r="A2228" t="str">
        <f>"70693617"</f>
        <v>70693617</v>
      </c>
      <c r="B2228" t="s">
        <v>2402</v>
      </c>
      <c r="C2228" t="s">
        <v>15</v>
      </c>
      <c r="D2228" t="str">
        <f t="shared" si="88"/>
        <v>556904</v>
      </c>
      <c r="E2228" t="s">
        <v>2186</v>
      </c>
      <c r="F2228" t="s">
        <v>11</v>
      </c>
    </row>
    <row r="2229" spans="1:6" x14ac:dyDescent="0.25">
      <c r="A2229" t="str">
        <f>"70826706"</f>
        <v>70826706</v>
      </c>
      <c r="B2229" t="s">
        <v>2403</v>
      </c>
      <c r="C2229" t="s">
        <v>15</v>
      </c>
      <c r="D2229" t="str">
        <f t="shared" si="88"/>
        <v>556904</v>
      </c>
      <c r="E2229" t="s">
        <v>2186</v>
      </c>
      <c r="F2229" t="s">
        <v>139</v>
      </c>
    </row>
    <row r="2230" spans="1:6" x14ac:dyDescent="0.25">
      <c r="A2230" t="str">
        <f>"22907173"</f>
        <v>22907173</v>
      </c>
      <c r="B2230" t="s">
        <v>2404</v>
      </c>
      <c r="C2230" t="s">
        <v>7</v>
      </c>
      <c r="D2230" t="str">
        <f t="shared" si="88"/>
        <v>556904</v>
      </c>
      <c r="E2230" t="s">
        <v>2186</v>
      </c>
      <c r="F2230" t="s">
        <v>389</v>
      </c>
    </row>
    <row r="2231" spans="1:6" x14ac:dyDescent="0.25">
      <c r="A2231" t="str">
        <f>"22671994"</f>
        <v>22671994</v>
      </c>
      <c r="B2231" t="s">
        <v>2405</v>
      </c>
      <c r="C2231" t="s">
        <v>7</v>
      </c>
      <c r="D2231" t="str">
        <f t="shared" si="88"/>
        <v>556904</v>
      </c>
      <c r="E2231" t="s">
        <v>2186</v>
      </c>
      <c r="F2231" t="s">
        <v>11</v>
      </c>
    </row>
    <row r="2232" spans="1:6" x14ac:dyDescent="0.25">
      <c r="A2232" t="str">
        <f>"67777317"</f>
        <v>67777317</v>
      </c>
      <c r="B2232" t="s">
        <v>2406</v>
      </c>
      <c r="C2232" t="s">
        <v>15</v>
      </c>
      <c r="D2232" t="str">
        <f t="shared" si="88"/>
        <v>556904</v>
      </c>
      <c r="E2232" t="s">
        <v>2186</v>
      </c>
      <c r="F2232" t="s">
        <v>38</v>
      </c>
    </row>
    <row r="2233" spans="1:6" x14ac:dyDescent="0.25">
      <c r="A2233" t="str">
        <f>"06200923"</f>
        <v>06200923</v>
      </c>
      <c r="B2233" t="s">
        <v>2407</v>
      </c>
      <c r="C2233" t="s">
        <v>15</v>
      </c>
      <c r="D2233" t="str">
        <f t="shared" si="88"/>
        <v>556904</v>
      </c>
      <c r="E2233" t="s">
        <v>2186</v>
      </c>
      <c r="F2233" t="s">
        <v>137</v>
      </c>
    </row>
    <row r="2234" spans="1:6" x14ac:dyDescent="0.25">
      <c r="A2234" t="str">
        <f>"75123541"</f>
        <v>75123541</v>
      </c>
      <c r="B2234" t="s">
        <v>2408</v>
      </c>
      <c r="C2234" t="s">
        <v>20</v>
      </c>
      <c r="D2234" t="str">
        <f t="shared" si="88"/>
        <v>556904</v>
      </c>
      <c r="E2234" t="s">
        <v>2186</v>
      </c>
      <c r="F2234" t="s">
        <v>21</v>
      </c>
    </row>
    <row r="2235" spans="1:6" x14ac:dyDescent="0.25">
      <c r="A2235" t="str">
        <f>"22605355"</f>
        <v>22605355</v>
      </c>
      <c r="B2235" t="s">
        <v>2409</v>
      </c>
      <c r="C2235" t="s">
        <v>7</v>
      </c>
      <c r="D2235" t="str">
        <f t="shared" si="88"/>
        <v>556904</v>
      </c>
      <c r="E2235" t="s">
        <v>2186</v>
      </c>
      <c r="F2235" t="s">
        <v>13</v>
      </c>
    </row>
    <row r="2236" spans="1:6" x14ac:dyDescent="0.25">
      <c r="A2236" t="str">
        <f>"27322891"</f>
        <v>27322891</v>
      </c>
      <c r="B2236" t="s">
        <v>2410</v>
      </c>
      <c r="C2236" t="s">
        <v>78</v>
      </c>
      <c r="D2236" t="str">
        <f t="shared" si="88"/>
        <v>556904</v>
      </c>
      <c r="E2236" t="s">
        <v>2186</v>
      </c>
      <c r="F2236" t="s">
        <v>2411</v>
      </c>
    </row>
    <row r="2237" spans="1:6" x14ac:dyDescent="0.25">
      <c r="A2237" t="str">
        <f>"46747508"</f>
        <v>46747508</v>
      </c>
      <c r="B2237" t="s">
        <v>2412</v>
      </c>
      <c r="C2237" t="s">
        <v>15</v>
      </c>
      <c r="D2237" t="str">
        <f t="shared" si="88"/>
        <v>556904</v>
      </c>
      <c r="E2237" t="s">
        <v>2186</v>
      </c>
      <c r="F2237" t="s">
        <v>11</v>
      </c>
    </row>
    <row r="2238" spans="1:6" x14ac:dyDescent="0.25">
      <c r="A2238" t="str">
        <f>"22682953"</f>
        <v>22682953</v>
      </c>
      <c r="B2238" t="s">
        <v>2413</v>
      </c>
      <c r="C2238" t="s">
        <v>7</v>
      </c>
      <c r="D2238" t="str">
        <f t="shared" si="88"/>
        <v>556904</v>
      </c>
      <c r="E2238" t="s">
        <v>2186</v>
      </c>
      <c r="F2238" t="s">
        <v>9</v>
      </c>
    </row>
    <row r="2239" spans="1:6" x14ac:dyDescent="0.25">
      <c r="A2239" t="str">
        <f>"72023538"</f>
        <v>72023538</v>
      </c>
      <c r="B2239" t="s">
        <v>2414</v>
      </c>
      <c r="C2239" t="s">
        <v>15</v>
      </c>
      <c r="D2239" t="str">
        <f t="shared" si="88"/>
        <v>556904</v>
      </c>
      <c r="E2239" t="s">
        <v>2186</v>
      </c>
      <c r="F2239" t="s">
        <v>29</v>
      </c>
    </row>
    <row r="2240" spans="1:6" x14ac:dyDescent="0.25">
      <c r="A2240" t="str">
        <f>"46748393"</f>
        <v>46748393</v>
      </c>
      <c r="B2240" t="s">
        <v>2415</v>
      </c>
      <c r="C2240" t="s">
        <v>15</v>
      </c>
      <c r="D2240" t="str">
        <f t="shared" si="88"/>
        <v>556904</v>
      </c>
      <c r="E2240" t="s">
        <v>2186</v>
      </c>
      <c r="F2240" t="s">
        <v>11</v>
      </c>
    </row>
    <row r="2241" spans="1:6" x14ac:dyDescent="0.25">
      <c r="A2241" t="str">
        <f>"70861013"</f>
        <v>70861013</v>
      </c>
      <c r="B2241" t="s">
        <v>2416</v>
      </c>
      <c r="C2241" t="s">
        <v>15</v>
      </c>
      <c r="D2241" t="str">
        <f t="shared" si="88"/>
        <v>556904</v>
      </c>
      <c r="E2241" t="s">
        <v>2186</v>
      </c>
      <c r="F2241" t="s">
        <v>29</v>
      </c>
    </row>
    <row r="2242" spans="1:6" x14ac:dyDescent="0.25">
      <c r="A2242" t="str">
        <f>"00482668"</f>
        <v>00482668</v>
      </c>
      <c r="B2242" t="s">
        <v>2417</v>
      </c>
      <c r="C2242" t="s">
        <v>15</v>
      </c>
      <c r="D2242" t="str">
        <f t="shared" si="88"/>
        <v>556904</v>
      </c>
      <c r="E2242" t="s">
        <v>2186</v>
      </c>
      <c r="F2242" t="s">
        <v>29</v>
      </c>
    </row>
    <row r="2243" spans="1:6" x14ac:dyDescent="0.25">
      <c r="A2243" t="str">
        <f>"46747648"</f>
        <v>46747648</v>
      </c>
      <c r="B2243" t="s">
        <v>2418</v>
      </c>
      <c r="C2243" t="s">
        <v>15</v>
      </c>
      <c r="D2243" t="str">
        <f t="shared" si="88"/>
        <v>556904</v>
      </c>
      <c r="E2243" t="s">
        <v>2186</v>
      </c>
      <c r="F2243" t="s">
        <v>11</v>
      </c>
    </row>
    <row r="2244" spans="1:6" x14ac:dyDescent="0.25">
      <c r="A2244" t="str">
        <f>"75097222"</f>
        <v>75097222</v>
      </c>
      <c r="B2244" t="s">
        <v>2419</v>
      </c>
      <c r="C2244" t="s">
        <v>15</v>
      </c>
      <c r="D2244" t="str">
        <f t="shared" si="88"/>
        <v>556904</v>
      </c>
      <c r="E2244" t="s">
        <v>2186</v>
      </c>
      <c r="F2244" t="s">
        <v>29</v>
      </c>
    </row>
    <row r="2245" spans="1:6" x14ac:dyDescent="0.25">
      <c r="A2245" t="str">
        <f>"01905040"</f>
        <v>01905040</v>
      </c>
      <c r="B2245" t="s">
        <v>2420</v>
      </c>
      <c r="C2245" t="s">
        <v>15</v>
      </c>
      <c r="D2245" t="str">
        <f t="shared" si="88"/>
        <v>556904</v>
      </c>
      <c r="E2245" t="s">
        <v>2186</v>
      </c>
      <c r="F2245" t="s">
        <v>29</v>
      </c>
    </row>
    <row r="2246" spans="1:6" x14ac:dyDescent="0.25">
      <c r="A2246" t="str">
        <f>"17186765"</f>
        <v>17186765</v>
      </c>
      <c r="B2246" t="s">
        <v>2421</v>
      </c>
      <c r="C2246" t="s">
        <v>7</v>
      </c>
      <c r="D2246" t="str">
        <f t="shared" si="88"/>
        <v>556904</v>
      </c>
      <c r="E2246" t="s">
        <v>2186</v>
      </c>
      <c r="F2246" t="s">
        <v>11</v>
      </c>
    </row>
    <row r="2247" spans="1:6" x14ac:dyDescent="0.25">
      <c r="A2247" t="str">
        <f>"17943264"</f>
        <v>17943264</v>
      </c>
      <c r="B2247" t="s">
        <v>2422</v>
      </c>
      <c r="C2247" t="s">
        <v>15</v>
      </c>
      <c r="D2247" t="str">
        <f t="shared" si="88"/>
        <v>556904</v>
      </c>
      <c r="E2247" t="s">
        <v>2186</v>
      </c>
      <c r="F2247" t="s">
        <v>18</v>
      </c>
    </row>
    <row r="2248" spans="1:6" x14ac:dyDescent="0.25">
      <c r="A2248" t="str">
        <f>"22751840"</f>
        <v>22751840</v>
      </c>
      <c r="B2248" t="s">
        <v>2423</v>
      </c>
      <c r="C2248" t="s">
        <v>7</v>
      </c>
      <c r="D2248" t="str">
        <f t="shared" si="88"/>
        <v>556904</v>
      </c>
      <c r="E2248" t="s">
        <v>2186</v>
      </c>
      <c r="F2248" t="s">
        <v>9</v>
      </c>
    </row>
    <row r="2249" spans="1:6" x14ac:dyDescent="0.25">
      <c r="A2249" t="str">
        <f>"46749853"</f>
        <v>46749853</v>
      </c>
      <c r="B2249" t="s">
        <v>2424</v>
      </c>
      <c r="C2249" t="s">
        <v>15</v>
      </c>
      <c r="D2249" t="str">
        <f t="shared" si="88"/>
        <v>556904</v>
      </c>
      <c r="E2249" t="s">
        <v>2186</v>
      </c>
      <c r="F2249" t="s">
        <v>389</v>
      </c>
    </row>
    <row r="2250" spans="1:6" x14ac:dyDescent="0.25">
      <c r="A2250" t="str">
        <f>"46748938"</f>
        <v>46748938</v>
      </c>
      <c r="B2250" t="s">
        <v>2425</v>
      </c>
      <c r="C2250" t="s">
        <v>15</v>
      </c>
      <c r="D2250" t="str">
        <f t="shared" si="88"/>
        <v>556904</v>
      </c>
      <c r="E2250" t="s">
        <v>2186</v>
      </c>
      <c r="F2250" t="s">
        <v>29</v>
      </c>
    </row>
    <row r="2251" spans="1:6" x14ac:dyDescent="0.25">
      <c r="A2251" t="str">
        <f>"69388482"</f>
        <v>69388482</v>
      </c>
      <c r="B2251" t="s">
        <v>2426</v>
      </c>
      <c r="C2251" t="s">
        <v>15</v>
      </c>
      <c r="D2251" t="str">
        <f t="shared" si="88"/>
        <v>556904</v>
      </c>
      <c r="E2251" t="s">
        <v>2186</v>
      </c>
      <c r="F2251" t="s">
        <v>29</v>
      </c>
    </row>
    <row r="2252" spans="1:6" x14ac:dyDescent="0.25">
      <c r="A2252" t="str">
        <f>"69411069"</f>
        <v>69411069</v>
      </c>
      <c r="B2252" t="s">
        <v>2427</v>
      </c>
      <c r="C2252" t="s">
        <v>15</v>
      </c>
      <c r="D2252" t="str">
        <f t="shared" si="88"/>
        <v>556904</v>
      </c>
      <c r="E2252" t="s">
        <v>2186</v>
      </c>
      <c r="F2252" t="s">
        <v>29</v>
      </c>
    </row>
    <row r="2253" spans="1:6" x14ac:dyDescent="0.25">
      <c r="A2253" t="str">
        <f>"21346151"</f>
        <v>21346151</v>
      </c>
      <c r="B2253" t="s">
        <v>2428</v>
      </c>
      <c r="C2253" t="s">
        <v>27</v>
      </c>
      <c r="D2253" t="str">
        <f t="shared" si="88"/>
        <v>556904</v>
      </c>
      <c r="E2253" t="s">
        <v>2186</v>
      </c>
      <c r="F2253" t="s">
        <v>1646</v>
      </c>
    </row>
    <row r="2254" spans="1:6" x14ac:dyDescent="0.25">
      <c r="A2254" t="str">
        <f>"06025951"</f>
        <v>06025951</v>
      </c>
      <c r="B2254" t="s">
        <v>2429</v>
      </c>
      <c r="C2254" t="s">
        <v>27</v>
      </c>
      <c r="D2254" t="str">
        <f t="shared" si="88"/>
        <v>556904</v>
      </c>
      <c r="E2254" t="s">
        <v>2186</v>
      </c>
      <c r="F2254" t="s">
        <v>29</v>
      </c>
    </row>
    <row r="2255" spans="1:6" x14ac:dyDescent="0.25">
      <c r="A2255" t="str">
        <f>"68455674"</f>
        <v>68455674</v>
      </c>
      <c r="B2255" t="s">
        <v>2430</v>
      </c>
      <c r="C2255" t="s">
        <v>15</v>
      </c>
      <c r="D2255" t="str">
        <f t="shared" si="88"/>
        <v>556904</v>
      </c>
      <c r="E2255" t="s">
        <v>2186</v>
      </c>
      <c r="F2255" t="s">
        <v>11</v>
      </c>
    </row>
    <row r="2256" spans="1:6" x14ac:dyDescent="0.25">
      <c r="A2256" t="str">
        <f>"22875239"</f>
        <v>22875239</v>
      </c>
      <c r="B2256" t="s">
        <v>2431</v>
      </c>
      <c r="C2256" t="s">
        <v>7</v>
      </c>
      <c r="D2256" t="str">
        <f t="shared" si="88"/>
        <v>556904</v>
      </c>
      <c r="E2256" t="s">
        <v>2186</v>
      </c>
      <c r="F2256" t="s">
        <v>18</v>
      </c>
    </row>
    <row r="2257" spans="1:6" x14ac:dyDescent="0.25">
      <c r="A2257" t="str">
        <f>"08223904"</f>
        <v>08223904</v>
      </c>
      <c r="B2257" t="s">
        <v>2432</v>
      </c>
      <c r="C2257" t="s">
        <v>7</v>
      </c>
      <c r="D2257" t="str">
        <f t="shared" si="88"/>
        <v>556904</v>
      </c>
      <c r="E2257" t="s">
        <v>2186</v>
      </c>
      <c r="F2257" t="s">
        <v>18</v>
      </c>
    </row>
    <row r="2258" spans="1:6" x14ac:dyDescent="0.25">
      <c r="A2258" t="str">
        <f>"46747362"</f>
        <v>46747362</v>
      </c>
      <c r="B2258" t="s">
        <v>2433</v>
      </c>
      <c r="C2258" t="s">
        <v>7</v>
      </c>
      <c r="D2258" t="str">
        <f t="shared" si="88"/>
        <v>556904</v>
      </c>
      <c r="E2258" t="s">
        <v>2186</v>
      </c>
      <c r="F2258" t="s">
        <v>18</v>
      </c>
    </row>
    <row r="2259" spans="1:6" x14ac:dyDescent="0.25">
      <c r="A2259" t="str">
        <f>"72535792"</f>
        <v>72535792</v>
      </c>
      <c r="B2259" t="s">
        <v>2434</v>
      </c>
      <c r="C2259" t="s">
        <v>20</v>
      </c>
      <c r="D2259" t="str">
        <f t="shared" si="88"/>
        <v>556904</v>
      </c>
      <c r="E2259" t="s">
        <v>2186</v>
      </c>
      <c r="F2259" t="s">
        <v>21</v>
      </c>
    </row>
    <row r="2260" spans="1:6" x14ac:dyDescent="0.25">
      <c r="A2260" t="str">
        <f>"70925721"</f>
        <v>70925721</v>
      </c>
      <c r="B2260" t="s">
        <v>2435</v>
      </c>
      <c r="C2260" t="s">
        <v>15</v>
      </c>
      <c r="D2260" t="str">
        <f t="shared" si="88"/>
        <v>556904</v>
      </c>
      <c r="E2260" t="s">
        <v>2186</v>
      </c>
      <c r="F2260" t="s">
        <v>62</v>
      </c>
    </row>
    <row r="2261" spans="1:6" x14ac:dyDescent="0.25">
      <c r="A2261" t="str">
        <f>"05822467"</f>
        <v>05822467</v>
      </c>
      <c r="B2261" t="s">
        <v>2436</v>
      </c>
      <c r="C2261" t="s">
        <v>15</v>
      </c>
      <c r="D2261" t="str">
        <f t="shared" si="88"/>
        <v>556904</v>
      </c>
      <c r="E2261" t="s">
        <v>2186</v>
      </c>
      <c r="F2261" t="s">
        <v>62</v>
      </c>
    </row>
    <row r="2262" spans="1:6" x14ac:dyDescent="0.25">
      <c r="A2262" t="str">
        <f>"03780171"</f>
        <v>03780171</v>
      </c>
      <c r="B2262" t="s">
        <v>2437</v>
      </c>
      <c r="C2262" t="s">
        <v>15</v>
      </c>
      <c r="D2262" t="str">
        <f t="shared" si="88"/>
        <v>556904</v>
      </c>
      <c r="E2262" t="s">
        <v>2186</v>
      </c>
      <c r="F2262" t="s">
        <v>62</v>
      </c>
    </row>
    <row r="2263" spans="1:6" x14ac:dyDescent="0.25">
      <c r="A2263" t="str">
        <f>"46747249"</f>
        <v>46747249</v>
      </c>
      <c r="B2263" t="s">
        <v>2438</v>
      </c>
      <c r="C2263" t="s">
        <v>15</v>
      </c>
      <c r="D2263" t="str">
        <f t="shared" si="88"/>
        <v>556904</v>
      </c>
      <c r="E2263" t="s">
        <v>2186</v>
      </c>
      <c r="F2263" t="s">
        <v>62</v>
      </c>
    </row>
    <row r="2264" spans="1:6" x14ac:dyDescent="0.25">
      <c r="A2264" t="str">
        <f>"22731008"</f>
        <v>22731008</v>
      </c>
      <c r="B2264" t="s">
        <v>2439</v>
      </c>
      <c r="C2264" t="s">
        <v>7</v>
      </c>
      <c r="D2264" t="str">
        <f t="shared" si="88"/>
        <v>556904</v>
      </c>
      <c r="E2264" t="s">
        <v>2186</v>
      </c>
      <c r="F2264" t="s">
        <v>11</v>
      </c>
    </row>
    <row r="2265" spans="1:6" x14ac:dyDescent="0.25">
      <c r="A2265" t="str">
        <f>"70925542"</f>
        <v>70925542</v>
      </c>
      <c r="B2265" t="s">
        <v>2440</v>
      </c>
      <c r="C2265" t="s">
        <v>15</v>
      </c>
      <c r="D2265" t="str">
        <f t="shared" si="88"/>
        <v>556904</v>
      </c>
      <c r="E2265" t="s">
        <v>2186</v>
      </c>
      <c r="F2265" t="s">
        <v>11</v>
      </c>
    </row>
    <row r="2266" spans="1:6" x14ac:dyDescent="0.25">
      <c r="A2266" t="str">
        <f>"26983117"</f>
        <v>26983117</v>
      </c>
      <c r="B2266" t="s">
        <v>2441</v>
      </c>
      <c r="C2266" t="s">
        <v>7</v>
      </c>
      <c r="D2266" t="str">
        <f t="shared" si="88"/>
        <v>556904</v>
      </c>
      <c r="E2266" t="s">
        <v>2186</v>
      </c>
      <c r="F2266" t="s">
        <v>11</v>
      </c>
    </row>
    <row r="2267" spans="1:6" x14ac:dyDescent="0.25">
      <c r="A2267" t="str">
        <f>"68455232"</f>
        <v>68455232</v>
      </c>
      <c r="B2267" t="s">
        <v>2442</v>
      </c>
      <c r="C2267" t="s">
        <v>7</v>
      </c>
      <c r="D2267" t="str">
        <f t="shared" si="88"/>
        <v>556904</v>
      </c>
      <c r="E2267" t="s">
        <v>2186</v>
      </c>
      <c r="F2267" t="s">
        <v>11</v>
      </c>
    </row>
    <row r="2268" spans="1:6" x14ac:dyDescent="0.25">
      <c r="A2268" t="str">
        <f>"01286935"</f>
        <v>01286935</v>
      </c>
      <c r="B2268" t="s">
        <v>2443</v>
      </c>
      <c r="C2268" t="s">
        <v>2224</v>
      </c>
      <c r="D2268" t="str">
        <f t="shared" si="88"/>
        <v>556904</v>
      </c>
      <c r="E2268" t="s">
        <v>2186</v>
      </c>
      <c r="F2268" t="s">
        <v>137</v>
      </c>
    </row>
    <row r="2269" spans="1:6" x14ac:dyDescent="0.25">
      <c r="A2269" t="str">
        <f>"07090668"</f>
        <v>07090668</v>
      </c>
      <c r="B2269" t="s">
        <v>2444</v>
      </c>
      <c r="C2269" t="s">
        <v>7</v>
      </c>
      <c r="D2269" t="str">
        <f t="shared" si="88"/>
        <v>556904</v>
      </c>
      <c r="E2269" t="s">
        <v>2186</v>
      </c>
      <c r="F2269" t="s">
        <v>11</v>
      </c>
    </row>
    <row r="2270" spans="1:6" x14ac:dyDescent="0.25">
      <c r="A2270" t="str">
        <f>"22833447"</f>
        <v>22833447</v>
      </c>
      <c r="B2270" t="s">
        <v>2445</v>
      </c>
      <c r="C2270" t="s">
        <v>7</v>
      </c>
      <c r="D2270" t="str">
        <f t="shared" si="88"/>
        <v>556904</v>
      </c>
      <c r="E2270" t="s">
        <v>2186</v>
      </c>
      <c r="F2270" t="s">
        <v>18</v>
      </c>
    </row>
    <row r="2271" spans="1:6" x14ac:dyDescent="0.25">
      <c r="A2271" t="str">
        <f>"14869306"</f>
        <v>14869306</v>
      </c>
      <c r="B2271" t="s">
        <v>2446</v>
      </c>
      <c r="C2271" t="s">
        <v>7</v>
      </c>
      <c r="D2271" t="str">
        <f t="shared" si="88"/>
        <v>556904</v>
      </c>
      <c r="E2271" t="s">
        <v>2186</v>
      </c>
      <c r="F2271" t="s">
        <v>11</v>
      </c>
    </row>
    <row r="2272" spans="1:6" x14ac:dyDescent="0.25">
      <c r="A2272" t="str">
        <f>"21743541"</f>
        <v>21743541</v>
      </c>
      <c r="B2272" t="s">
        <v>2447</v>
      </c>
      <c r="C2272" t="s">
        <v>325</v>
      </c>
      <c r="D2272" t="str">
        <f t="shared" si="88"/>
        <v>556904</v>
      </c>
      <c r="E2272" t="s">
        <v>2186</v>
      </c>
      <c r="F2272" t="s">
        <v>11</v>
      </c>
    </row>
    <row r="2273" spans="1:6" x14ac:dyDescent="0.25">
      <c r="A2273" t="str">
        <f>"09150218"</f>
        <v>09150218</v>
      </c>
      <c r="B2273" t="s">
        <v>2448</v>
      </c>
      <c r="C2273" t="s">
        <v>7</v>
      </c>
      <c r="D2273" t="str">
        <f t="shared" si="88"/>
        <v>556904</v>
      </c>
      <c r="E2273" t="s">
        <v>2186</v>
      </c>
      <c r="F2273" t="s">
        <v>13</v>
      </c>
    </row>
    <row r="2274" spans="1:6" x14ac:dyDescent="0.25">
      <c r="A2274" t="str">
        <f>"09062742"</f>
        <v>09062742</v>
      </c>
      <c r="B2274" t="s">
        <v>2449</v>
      </c>
      <c r="C2274" t="s">
        <v>7</v>
      </c>
      <c r="D2274" t="str">
        <f t="shared" si="88"/>
        <v>556904</v>
      </c>
      <c r="E2274" t="s">
        <v>2186</v>
      </c>
      <c r="F2274" t="s">
        <v>139</v>
      </c>
    </row>
    <row r="2275" spans="1:6" x14ac:dyDescent="0.25">
      <c r="A2275" t="str">
        <f>"22760962"</f>
        <v>22760962</v>
      </c>
      <c r="B2275" t="s">
        <v>2450</v>
      </c>
      <c r="C2275" t="s">
        <v>7</v>
      </c>
      <c r="D2275" t="str">
        <f t="shared" si="88"/>
        <v>556904</v>
      </c>
      <c r="E2275" t="s">
        <v>2186</v>
      </c>
      <c r="F2275" t="s">
        <v>9</v>
      </c>
    </row>
    <row r="2276" spans="1:6" x14ac:dyDescent="0.25">
      <c r="A2276" t="str">
        <f>"05508584"</f>
        <v>05508584</v>
      </c>
      <c r="B2276" t="s">
        <v>2451</v>
      </c>
      <c r="C2276" t="s">
        <v>7</v>
      </c>
      <c r="D2276" t="str">
        <f t="shared" si="88"/>
        <v>556904</v>
      </c>
      <c r="E2276" t="s">
        <v>2186</v>
      </c>
      <c r="F2276" t="s">
        <v>139</v>
      </c>
    </row>
    <row r="2277" spans="1:6" x14ac:dyDescent="0.25">
      <c r="A2277" t="str">
        <f>"26610299"</f>
        <v>26610299</v>
      </c>
      <c r="B2277" t="s">
        <v>2452</v>
      </c>
      <c r="C2277" t="s">
        <v>7</v>
      </c>
      <c r="D2277" t="str">
        <f t="shared" si="88"/>
        <v>556904</v>
      </c>
      <c r="E2277" t="s">
        <v>2186</v>
      </c>
      <c r="F2277" t="s">
        <v>11</v>
      </c>
    </row>
    <row r="2278" spans="1:6" x14ac:dyDescent="0.25">
      <c r="A2278" t="str">
        <f>"22692738"</f>
        <v>22692738</v>
      </c>
      <c r="B2278" t="s">
        <v>2453</v>
      </c>
      <c r="C2278" t="s">
        <v>7</v>
      </c>
      <c r="D2278" t="str">
        <f t="shared" si="88"/>
        <v>556904</v>
      </c>
      <c r="E2278" t="s">
        <v>2186</v>
      </c>
      <c r="F2278" t="s">
        <v>11</v>
      </c>
    </row>
    <row r="2279" spans="1:6" x14ac:dyDescent="0.25">
      <c r="A2279" t="str">
        <f>"27298523"</f>
        <v>27298523</v>
      </c>
      <c r="B2279" t="s">
        <v>2454</v>
      </c>
      <c r="C2279" t="s">
        <v>78</v>
      </c>
      <c r="D2279" t="str">
        <f t="shared" si="88"/>
        <v>556904</v>
      </c>
      <c r="E2279" t="s">
        <v>2186</v>
      </c>
      <c r="F2279" t="s">
        <v>2455</v>
      </c>
    </row>
    <row r="2280" spans="1:6" x14ac:dyDescent="0.25">
      <c r="A2280" t="str">
        <f>"40233189"</f>
        <v>40233189</v>
      </c>
      <c r="B2280" t="s">
        <v>2456</v>
      </c>
      <c r="C2280" t="s">
        <v>7</v>
      </c>
      <c r="D2280" t="str">
        <f t="shared" ref="D2280:D2343" si="89">"556904"</f>
        <v>556904</v>
      </c>
      <c r="E2280" t="s">
        <v>2186</v>
      </c>
      <c r="F2280" t="s">
        <v>137</v>
      </c>
    </row>
    <row r="2281" spans="1:6" x14ac:dyDescent="0.25">
      <c r="A2281" t="str">
        <f>"06120148"</f>
        <v>06120148</v>
      </c>
      <c r="B2281" t="s">
        <v>2457</v>
      </c>
      <c r="C2281" t="s">
        <v>7</v>
      </c>
      <c r="D2281" t="str">
        <f t="shared" si="89"/>
        <v>556904</v>
      </c>
      <c r="E2281" t="s">
        <v>2186</v>
      </c>
      <c r="F2281" t="s">
        <v>11</v>
      </c>
    </row>
    <row r="2282" spans="1:6" x14ac:dyDescent="0.25">
      <c r="A2282" t="str">
        <f>"26570548"</f>
        <v>26570548</v>
      </c>
      <c r="B2282" t="s">
        <v>2458</v>
      </c>
      <c r="C2282" t="s">
        <v>7</v>
      </c>
      <c r="D2282" t="str">
        <f t="shared" si="89"/>
        <v>556904</v>
      </c>
      <c r="E2282" t="s">
        <v>2186</v>
      </c>
      <c r="F2282" t="s">
        <v>62</v>
      </c>
    </row>
    <row r="2283" spans="1:6" x14ac:dyDescent="0.25">
      <c r="A2283" t="str">
        <f>"22604812"</f>
        <v>22604812</v>
      </c>
      <c r="B2283" t="s">
        <v>2459</v>
      </c>
      <c r="C2283" t="s">
        <v>7</v>
      </c>
      <c r="D2283" t="str">
        <f t="shared" si="89"/>
        <v>556904</v>
      </c>
      <c r="E2283" t="s">
        <v>2186</v>
      </c>
      <c r="F2283" t="s">
        <v>62</v>
      </c>
    </row>
    <row r="2284" spans="1:6" x14ac:dyDescent="0.25">
      <c r="A2284" t="str">
        <f>"70226938"</f>
        <v>70226938</v>
      </c>
      <c r="B2284" t="s">
        <v>2460</v>
      </c>
      <c r="C2284" t="s">
        <v>7</v>
      </c>
      <c r="D2284" t="str">
        <f t="shared" si="89"/>
        <v>556904</v>
      </c>
      <c r="E2284" t="s">
        <v>2186</v>
      </c>
      <c r="F2284" t="s">
        <v>328</v>
      </c>
    </row>
    <row r="2285" spans="1:6" x14ac:dyDescent="0.25">
      <c r="A2285" t="str">
        <f>"22898883"</f>
        <v>22898883</v>
      </c>
      <c r="B2285" t="s">
        <v>2461</v>
      </c>
      <c r="C2285" t="s">
        <v>7</v>
      </c>
      <c r="D2285" t="str">
        <f t="shared" si="89"/>
        <v>556904</v>
      </c>
      <c r="E2285" t="s">
        <v>2186</v>
      </c>
      <c r="F2285" t="s">
        <v>35</v>
      </c>
    </row>
    <row r="2286" spans="1:6" x14ac:dyDescent="0.25">
      <c r="A2286" t="str">
        <f>"26991365"</f>
        <v>26991365</v>
      </c>
      <c r="B2286" t="s">
        <v>2462</v>
      </c>
      <c r="C2286" t="s">
        <v>7</v>
      </c>
      <c r="D2286" t="str">
        <f t="shared" si="89"/>
        <v>556904</v>
      </c>
      <c r="E2286" t="s">
        <v>2186</v>
      </c>
      <c r="F2286" t="s">
        <v>11</v>
      </c>
    </row>
    <row r="2287" spans="1:6" x14ac:dyDescent="0.25">
      <c r="A2287" t="str">
        <f>"22725610"</f>
        <v>22725610</v>
      </c>
      <c r="B2287" t="s">
        <v>2463</v>
      </c>
      <c r="C2287" t="s">
        <v>7</v>
      </c>
      <c r="D2287" t="str">
        <f t="shared" si="89"/>
        <v>556904</v>
      </c>
      <c r="E2287" t="s">
        <v>2186</v>
      </c>
      <c r="F2287" t="s">
        <v>11</v>
      </c>
    </row>
    <row r="2288" spans="1:6" x14ac:dyDescent="0.25">
      <c r="A2288" t="str">
        <f>"26553767"</f>
        <v>26553767</v>
      </c>
      <c r="B2288" t="s">
        <v>2464</v>
      </c>
      <c r="C2288" t="s">
        <v>7</v>
      </c>
      <c r="D2288" t="str">
        <f t="shared" si="89"/>
        <v>556904</v>
      </c>
      <c r="E2288" t="s">
        <v>2186</v>
      </c>
      <c r="F2288" t="s">
        <v>1096</v>
      </c>
    </row>
    <row r="2289" spans="1:6" x14ac:dyDescent="0.25">
      <c r="A2289" t="str">
        <f>"22739432"</f>
        <v>22739432</v>
      </c>
      <c r="B2289" t="s">
        <v>2465</v>
      </c>
      <c r="C2289" t="s">
        <v>7</v>
      </c>
      <c r="D2289" t="str">
        <f t="shared" si="89"/>
        <v>556904</v>
      </c>
      <c r="E2289" t="s">
        <v>2186</v>
      </c>
      <c r="F2289" t="s">
        <v>11</v>
      </c>
    </row>
    <row r="2290" spans="1:6" x14ac:dyDescent="0.25">
      <c r="A2290" t="str">
        <f>"14430797"</f>
        <v>14430797</v>
      </c>
      <c r="B2290" t="s">
        <v>2466</v>
      </c>
      <c r="C2290" t="s">
        <v>7</v>
      </c>
      <c r="D2290" t="str">
        <f t="shared" si="89"/>
        <v>556904</v>
      </c>
      <c r="E2290" t="s">
        <v>2186</v>
      </c>
      <c r="F2290" t="s">
        <v>11</v>
      </c>
    </row>
    <row r="2291" spans="1:6" x14ac:dyDescent="0.25">
      <c r="A2291" t="str">
        <f>"22693467"</f>
        <v>22693467</v>
      </c>
      <c r="B2291" t="s">
        <v>2467</v>
      </c>
      <c r="C2291" t="s">
        <v>7</v>
      </c>
      <c r="D2291" t="str">
        <f t="shared" si="89"/>
        <v>556904</v>
      </c>
      <c r="E2291" t="s">
        <v>2186</v>
      </c>
      <c r="F2291" t="s">
        <v>11</v>
      </c>
    </row>
    <row r="2292" spans="1:6" x14ac:dyDescent="0.25">
      <c r="A2292" t="str">
        <f>"09143271"</f>
        <v>09143271</v>
      </c>
      <c r="B2292" t="s">
        <v>2468</v>
      </c>
      <c r="C2292" t="s">
        <v>7</v>
      </c>
      <c r="D2292" t="str">
        <f t="shared" si="89"/>
        <v>556904</v>
      </c>
      <c r="E2292" t="s">
        <v>2186</v>
      </c>
      <c r="F2292" t="s">
        <v>11</v>
      </c>
    </row>
    <row r="2293" spans="1:6" x14ac:dyDescent="0.25">
      <c r="A2293" t="str">
        <f>"22853898"</f>
        <v>22853898</v>
      </c>
      <c r="B2293" t="s">
        <v>2469</v>
      </c>
      <c r="C2293" t="s">
        <v>7</v>
      </c>
      <c r="D2293" t="str">
        <f t="shared" si="89"/>
        <v>556904</v>
      </c>
      <c r="E2293" t="s">
        <v>2186</v>
      </c>
      <c r="F2293" t="s">
        <v>35</v>
      </c>
    </row>
    <row r="2294" spans="1:6" x14ac:dyDescent="0.25">
      <c r="A2294" t="str">
        <f>"22827145"</f>
        <v>22827145</v>
      </c>
      <c r="B2294" t="s">
        <v>2470</v>
      </c>
      <c r="C2294" t="s">
        <v>7</v>
      </c>
      <c r="D2294" t="str">
        <f t="shared" si="89"/>
        <v>556904</v>
      </c>
      <c r="E2294" t="s">
        <v>2186</v>
      </c>
      <c r="F2294" t="s">
        <v>139</v>
      </c>
    </row>
    <row r="2295" spans="1:6" x14ac:dyDescent="0.25">
      <c r="A2295" t="str">
        <f>"02761114"</f>
        <v>02761114</v>
      </c>
      <c r="B2295" t="s">
        <v>2471</v>
      </c>
      <c r="C2295" t="s">
        <v>7</v>
      </c>
      <c r="D2295" t="str">
        <f t="shared" si="89"/>
        <v>556904</v>
      </c>
      <c r="E2295" t="s">
        <v>2186</v>
      </c>
      <c r="F2295" t="s">
        <v>11</v>
      </c>
    </row>
    <row r="2296" spans="1:6" x14ac:dyDescent="0.25">
      <c r="A2296" t="str">
        <f>"07232365"</f>
        <v>07232365</v>
      </c>
      <c r="B2296" t="s">
        <v>2472</v>
      </c>
      <c r="C2296" t="s">
        <v>27</v>
      </c>
      <c r="D2296" t="str">
        <f t="shared" si="89"/>
        <v>556904</v>
      </c>
      <c r="E2296" t="s">
        <v>2186</v>
      </c>
      <c r="F2296" t="s">
        <v>2331</v>
      </c>
    </row>
    <row r="2297" spans="1:6" x14ac:dyDescent="0.25">
      <c r="A2297" t="str">
        <f>"27035026"</f>
        <v>27035026</v>
      </c>
      <c r="B2297" t="s">
        <v>2473</v>
      </c>
      <c r="C2297" t="s">
        <v>7</v>
      </c>
      <c r="D2297" t="str">
        <f t="shared" si="89"/>
        <v>556904</v>
      </c>
      <c r="E2297" t="s">
        <v>2186</v>
      </c>
      <c r="F2297" t="s">
        <v>11</v>
      </c>
    </row>
    <row r="2298" spans="1:6" x14ac:dyDescent="0.25">
      <c r="A2298" t="str">
        <f>"14348683"</f>
        <v>14348683</v>
      </c>
      <c r="B2298" t="s">
        <v>2474</v>
      </c>
      <c r="C2298" t="s">
        <v>7</v>
      </c>
      <c r="D2298" t="str">
        <f t="shared" si="89"/>
        <v>556904</v>
      </c>
      <c r="E2298" t="s">
        <v>2186</v>
      </c>
      <c r="F2298" t="s">
        <v>62</v>
      </c>
    </row>
    <row r="2299" spans="1:6" x14ac:dyDescent="0.25">
      <c r="A2299" t="str">
        <f>"22834311"</f>
        <v>22834311</v>
      </c>
      <c r="B2299" t="s">
        <v>2475</v>
      </c>
      <c r="C2299" t="s">
        <v>7</v>
      </c>
      <c r="D2299" t="str">
        <f t="shared" si="89"/>
        <v>556904</v>
      </c>
      <c r="E2299" t="s">
        <v>2186</v>
      </c>
      <c r="F2299" t="s">
        <v>389</v>
      </c>
    </row>
    <row r="2300" spans="1:6" x14ac:dyDescent="0.25">
      <c r="A2300" t="str">
        <f>"09713603"</f>
        <v>09713603</v>
      </c>
      <c r="B2300" t="s">
        <v>2476</v>
      </c>
      <c r="C2300" t="s">
        <v>7</v>
      </c>
      <c r="D2300" t="str">
        <f t="shared" si="89"/>
        <v>556904</v>
      </c>
      <c r="E2300" t="s">
        <v>2186</v>
      </c>
      <c r="F2300" t="s">
        <v>11</v>
      </c>
    </row>
    <row r="2301" spans="1:6" x14ac:dyDescent="0.25">
      <c r="A2301" t="str">
        <f>"04785657"</f>
        <v>04785657</v>
      </c>
      <c r="B2301" t="s">
        <v>2477</v>
      </c>
      <c r="C2301" t="s">
        <v>7</v>
      </c>
      <c r="D2301" t="str">
        <f t="shared" si="89"/>
        <v>556904</v>
      </c>
      <c r="E2301" t="s">
        <v>2186</v>
      </c>
      <c r="F2301" t="s">
        <v>11</v>
      </c>
    </row>
    <row r="2302" spans="1:6" x14ac:dyDescent="0.25">
      <c r="A2302" t="str">
        <f>"06810942"</f>
        <v>06810942</v>
      </c>
      <c r="B2302" t="s">
        <v>2478</v>
      </c>
      <c r="C2302" t="s">
        <v>7</v>
      </c>
      <c r="D2302" t="str">
        <f t="shared" si="89"/>
        <v>556904</v>
      </c>
      <c r="E2302" t="s">
        <v>2186</v>
      </c>
      <c r="F2302" t="s">
        <v>11</v>
      </c>
    </row>
    <row r="2303" spans="1:6" x14ac:dyDescent="0.25">
      <c r="A2303" t="str">
        <f>"02465558"</f>
        <v>02465558</v>
      </c>
      <c r="B2303" t="s">
        <v>2479</v>
      </c>
      <c r="C2303" t="s">
        <v>7</v>
      </c>
      <c r="D2303" t="str">
        <f t="shared" si="89"/>
        <v>556904</v>
      </c>
      <c r="E2303" t="s">
        <v>2186</v>
      </c>
      <c r="F2303" t="s">
        <v>9</v>
      </c>
    </row>
    <row r="2304" spans="1:6" x14ac:dyDescent="0.25">
      <c r="A2304" t="str">
        <f>"02505452"</f>
        <v>02505452</v>
      </c>
      <c r="B2304" t="s">
        <v>2480</v>
      </c>
      <c r="C2304" t="s">
        <v>7</v>
      </c>
      <c r="D2304" t="str">
        <f t="shared" si="89"/>
        <v>556904</v>
      </c>
      <c r="E2304" t="s">
        <v>2186</v>
      </c>
      <c r="F2304" t="s">
        <v>9</v>
      </c>
    </row>
    <row r="2305" spans="1:6" x14ac:dyDescent="0.25">
      <c r="A2305" t="str">
        <f>"75152134"</f>
        <v>75152134</v>
      </c>
      <c r="B2305" t="s">
        <v>2481</v>
      </c>
      <c r="C2305" t="s">
        <v>15</v>
      </c>
      <c r="D2305" t="str">
        <f t="shared" si="89"/>
        <v>556904</v>
      </c>
      <c r="E2305" t="s">
        <v>2186</v>
      </c>
      <c r="F2305" t="s">
        <v>29</v>
      </c>
    </row>
    <row r="2306" spans="1:6" x14ac:dyDescent="0.25">
      <c r="A2306" t="str">
        <f>"02484935"</f>
        <v>02484935</v>
      </c>
      <c r="B2306" t="s">
        <v>2482</v>
      </c>
      <c r="C2306" t="s">
        <v>78</v>
      </c>
      <c r="D2306" t="str">
        <f t="shared" si="89"/>
        <v>556904</v>
      </c>
      <c r="E2306" t="s">
        <v>2186</v>
      </c>
      <c r="F2306" t="s">
        <v>11</v>
      </c>
    </row>
    <row r="2307" spans="1:6" x14ac:dyDescent="0.25">
      <c r="A2307" t="str">
        <f>"73635952"</f>
        <v>73635952</v>
      </c>
      <c r="B2307" t="s">
        <v>2483</v>
      </c>
      <c r="C2307" t="s">
        <v>43</v>
      </c>
      <c r="D2307" t="str">
        <f t="shared" si="89"/>
        <v>556904</v>
      </c>
      <c r="E2307" t="s">
        <v>2186</v>
      </c>
      <c r="F2307" t="s">
        <v>44</v>
      </c>
    </row>
    <row r="2308" spans="1:6" x14ac:dyDescent="0.25">
      <c r="A2308" t="str">
        <f>"02271168"</f>
        <v>02271168</v>
      </c>
      <c r="B2308" t="s">
        <v>2484</v>
      </c>
      <c r="C2308" t="s">
        <v>7</v>
      </c>
      <c r="D2308" t="str">
        <f t="shared" si="89"/>
        <v>556904</v>
      </c>
      <c r="E2308" t="s">
        <v>2186</v>
      </c>
      <c r="F2308" t="s">
        <v>11</v>
      </c>
    </row>
    <row r="2309" spans="1:6" x14ac:dyDescent="0.25">
      <c r="A2309" t="str">
        <f>"68299788"</f>
        <v>68299788</v>
      </c>
      <c r="B2309" t="s">
        <v>2485</v>
      </c>
      <c r="C2309" t="s">
        <v>7</v>
      </c>
      <c r="D2309" t="str">
        <f t="shared" si="89"/>
        <v>556904</v>
      </c>
      <c r="E2309" t="s">
        <v>2186</v>
      </c>
      <c r="F2309" t="s">
        <v>326</v>
      </c>
    </row>
    <row r="2310" spans="1:6" x14ac:dyDescent="0.25">
      <c r="A2310" t="str">
        <f>"22771549"</f>
        <v>22771549</v>
      </c>
      <c r="B2310" t="s">
        <v>2486</v>
      </c>
      <c r="C2310" t="s">
        <v>7</v>
      </c>
      <c r="D2310" t="str">
        <f t="shared" si="89"/>
        <v>556904</v>
      </c>
      <c r="E2310" t="s">
        <v>2186</v>
      </c>
      <c r="F2310" t="s">
        <v>13</v>
      </c>
    </row>
    <row r="2311" spans="1:6" x14ac:dyDescent="0.25">
      <c r="A2311" t="str">
        <f>"09788476"</f>
        <v>09788476</v>
      </c>
      <c r="B2311" t="s">
        <v>2487</v>
      </c>
      <c r="C2311" t="s">
        <v>7</v>
      </c>
      <c r="D2311" t="str">
        <f t="shared" si="89"/>
        <v>556904</v>
      </c>
      <c r="E2311" t="s">
        <v>2186</v>
      </c>
      <c r="F2311" t="s">
        <v>29</v>
      </c>
    </row>
    <row r="2312" spans="1:6" x14ac:dyDescent="0.25">
      <c r="A2312" t="str">
        <f>"02596164"</f>
        <v>02596164</v>
      </c>
      <c r="B2312" t="s">
        <v>2488</v>
      </c>
      <c r="C2312" t="s">
        <v>78</v>
      </c>
      <c r="D2312" t="str">
        <f t="shared" si="89"/>
        <v>556904</v>
      </c>
      <c r="E2312" t="s">
        <v>2186</v>
      </c>
      <c r="F2312" t="s">
        <v>865</v>
      </c>
    </row>
    <row r="2313" spans="1:6" x14ac:dyDescent="0.25">
      <c r="A2313" t="str">
        <f>"03488080"</f>
        <v>03488080</v>
      </c>
      <c r="B2313" t="s">
        <v>2489</v>
      </c>
      <c r="C2313" t="s">
        <v>7</v>
      </c>
      <c r="D2313" t="str">
        <f t="shared" si="89"/>
        <v>556904</v>
      </c>
      <c r="E2313" t="s">
        <v>2186</v>
      </c>
      <c r="F2313" t="s">
        <v>11</v>
      </c>
    </row>
    <row r="2314" spans="1:6" x14ac:dyDescent="0.25">
      <c r="A2314" t="str">
        <f>"26601176"</f>
        <v>26601176</v>
      </c>
      <c r="B2314" t="s">
        <v>2490</v>
      </c>
      <c r="C2314" t="s">
        <v>7</v>
      </c>
      <c r="D2314" t="str">
        <f t="shared" si="89"/>
        <v>556904</v>
      </c>
      <c r="E2314" t="s">
        <v>2186</v>
      </c>
      <c r="F2314" t="s">
        <v>865</v>
      </c>
    </row>
    <row r="2315" spans="1:6" x14ac:dyDescent="0.25">
      <c r="A2315" t="str">
        <f>"22715975"</f>
        <v>22715975</v>
      </c>
      <c r="B2315" t="s">
        <v>2491</v>
      </c>
      <c r="C2315" t="s">
        <v>7</v>
      </c>
      <c r="D2315" t="str">
        <f t="shared" si="89"/>
        <v>556904</v>
      </c>
      <c r="E2315" t="s">
        <v>2186</v>
      </c>
      <c r="F2315" t="s">
        <v>11</v>
      </c>
    </row>
    <row r="2316" spans="1:6" x14ac:dyDescent="0.25">
      <c r="A2316" t="str">
        <f>"08224455"</f>
        <v>08224455</v>
      </c>
      <c r="B2316" t="s">
        <v>2492</v>
      </c>
      <c r="C2316" t="s">
        <v>7</v>
      </c>
      <c r="D2316" t="str">
        <f t="shared" si="89"/>
        <v>556904</v>
      </c>
      <c r="E2316" t="s">
        <v>2186</v>
      </c>
      <c r="F2316" t="s">
        <v>18</v>
      </c>
    </row>
    <row r="2317" spans="1:6" x14ac:dyDescent="0.25">
      <c r="A2317" t="str">
        <f>"04596951"</f>
        <v>04596951</v>
      </c>
      <c r="B2317" t="s">
        <v>2493</v>
      </c>
      <c r="C2317" t="s">
        <v>7</v>
      </c>
      <c r="D2317" t="str">
        <f t="shared" si="89"/>
        <v>556904</v>
      </c>
      <c r="E2317" t="s">
        <v>2186</v>
      </c>
      <c r="F2317" t="s">
        <v>18</v>
      </c>
    </row>
    <row r="2318" spans="1:6" x14ac:dyDescent="0.25">
      <c r="A2318" t="str">
        <f>"22863273"</f>
        <v>22863273</v>
      </c>
      <c r="B2318" t="s">
        <v>2494</v>
      </c>
      <c r="C2318" t="s">
        <v>7</v>
      </c>
      <c r="D2318" t="str">
        <f t="shared" si="89"/>
        <v>556904</v>
      </c>
      <c r="E2318" t="s">
        <v>2186</v>
      </c>
      <c r="F2318" t="s">
        <v>18</v>
      </c>
    </row>
    <row r="2319" spans="1:6" x14ac:dyDescent="0.25">
      <c r="A2319" t="str">
        <f>"25401114"</f>
        <v>25401114</v>
      </c>
      <c r="B2319" t="s">
        <v>2495</v>
      </c>
      <c r="C2319" t="s">
        <v>78</v>
      </c>
      <c r="D2319" t="str">
        <f t="shared" si="89"/>
        <v>556904</v>
      </c>
      <c r="E2319" t="s">
        <v>2186</v>
      </c>
      <c r="F2319" t="s">
        <v>326</v>
      </c>
    </row>
    <row r="2320" spans="1:6" x14ac:dyDescent="0.25">
      <c r="A2320" t="str">
        <f>"71235302"</f>
        <v>71235302</v>
      </c>
      <c r="B2320" t="s">
        <v>2496</v>
      </c>
      <c r="C2320" t="s">
        <v>15</v>
      </c>
      <c r="D2320" t="str">
        <f t="shared" si="89"/>
        <v>556904</v>
      </c>
      <c r="E2320" t="s">
        <v>2186</v>
      </c>
      <c r="F2320" t="s">
        <v>11</v>
      </c>
    </row>
    <row r="2321" spans="1:6" x14ac:dyDescent="0.25">
      <c r="A2321" t="str">
        <f>"26586100"</f>
        <v>26586100</v>
      </c>
      <c r="B2321" t="s">
        <v>2497</v>
      </c>
      <c r="C2321" t="s">
        <v>7</v>
      </c>
      <c r="D2321" t="str">
        <f t="shared" si="89"/>
        <v>556904</v>
      </c>
      <c r="E2321" t="s">
        <v>2186</v>
      </c>
      <c r="F2321" t="s">
        <v>137</v>
      </c>
    </row>
    <row r="2322" spans="1:6" x14ac:dyDescent="0.25">
      <c r="A2322" t="str">
        <f>"09521160"</f>
        <v>09521160</v>
      </c>
      <c r="B2322" t="s">
        <v>2498</v>
      </c>
      <c r="C2322" t="s">
        <v>7</v>
      </c>
      <c r="D2322" t="str">
        <f t="shared" si="89"/>
        <v>556904</v>
      </c>
      <c r="E2322" t="s">
        <v>2186</v>
      </c>
      <c r="F2322" t="s">
        <v>62</v>
      </c>
    </row>
    <row r="2323" spans="1:6" x14ac:dyDescent="0.25">
      <c r="A2323" t="str">
        <f>"22448225"</f>
        <v>22448225</v>
      </c>
      <c r="B2323" t="s">
        <v>2499</v>
      </c>
      <c r="C2323" t="s">
        <v>7</v>
      </c>
      <c r="D2323" t="str">
        <f t="shared" si="89"/>
        <v>556904</v>
      </c>
      <c r="E2323" t="s">
        <v>2186</v>
      </c>
      <c r="F2323" t="s">
        <v>11</v>
      </c>
    </row>
    <row r="2324" spans="1:6" x14ac:dyDescent="0.25">
      <c r="A2324" t="str">
        <f>"22662201"</f>
        <v>22662201</v>
      </c>
      <c r="B2324" t="s">
        <v>2500</v>
      </c>
      <c r="C2324" t="s">
        <v>7</v>
      </c>
      <c r="D2324" t="str">
        <f t="shared" si="89"/>
        <v>556904</v>
      </c>
      <c r="E2324" t="s">
        <v>2186</v>
      </c>
      <c r="F2324" t="s">
        <v>35</v>
      </c>
    </row>
    <row r="2325" spans="1:6" x14ac:dyDescent="0.25">
      <c r="A2325" t="str">
        <f>"02236311"</f>
        <v>02236311</v>
      </c>
      <c r="B2325" t="s">
        <v>2501</v>
      </c>
      <c r="C2325" t="s">
        <v>124</v>
      </c>
      <c r="D2325" t="str">
        <f t="shared" si="89"/>
        <v>556904</v>
      </c>
      <c r="E2325" t="s">
        <v>2186</v>
      </c>
      <c r="F2325" t="s">
        <v>13</v>
      </c>
    </row>
    <row r="2326" spans="1:6" x14ac:dyDescent="0.25">
      <c r="A2326" t="str">
        <f>"22880101"</f>
        <v>22880101</v>
      </c>
      <c r="B2326" t="s">
        <v>2502</v>
      </c>
      <c r="C2326" t="s">
        <v>7</v>
      </c>
      <c r="D2326" t="str">
        <f t="shared" si="89"/>
        <v>556904</v>
      </c>
      <c r="E2326" t="s">
        <v>2186</v>
      </c>
      <c r="F2326" t="s">
        <v>11</v>
      </c>
    </row>
    <row r="2327" spans="1:6" x14ac:dyDescent="0.25">
      <c r="A2327" t="str">
        <f>"22757988"</f>
        <v>22757988</v>
      </c>
      <c r="B2327" t="s">
        <v>2503</v>
      </c>
      <c r="C2327" t="s">
        <v>7</v>
      </c>
      <c r="D2327" t="str">
        <f t="shared" si="89"/>
        <v>556904</v>
      </c>
      <c r="E2327" t="s">
        <v>2186</v>
      </c>
      <c r="F2327" t="s">
        <v>11</v>
      </c>
    </row>
    <row r="2328" spans="1:6" x14ac:dyDescent="0.25">
      <c r="A2328" t="str">
        <f>"22856218"</f>
        <v>22856218</v>
      </c>
      <c r="B2328" t="s">
        <v>2504</v>
      </c>
      <c r="C2328" t="s">
        <v>7</v>
      </c>
      <c r="D2328" t="str">
        <f t="shared" si="89"/>
        <v>556904</v>
      </c>
      <c r="E2328" t="s">
        <v>2186</v>
      </c>
      <c r="F2328" t="s">
        <v>139</v>
      </c>
    </row>
    <row r="2329" spans="1:6" x14ac:dyDescent="0.25">
      <c r="A2329" t="str">
        <f>"28713389"</f>
        <v>28713389</v>
      </c>
      <c r="B2329" t="s">
        <v>2505</v>
      </c>
      <c r="C2329" t="s">
        <v>78</v>
      </c>
      <c r="D2329" t="str">
        <f t="shared" si="89"/>
        <v>556904</v>
      </c>
      <c r="E2329" t="s">
        <v>2186</v>
      </c>
      <c r="F2329" t="s">
        <v>11</v>
      </c>
    </row>
    <row r="2330" spans="1:6" x14ac:dyDescent="0.25">
      <c r="A2330" t="str">
        <f>"26625393"</f>
        <v>26625393</v>
      </c>
      <c r="B2330" t="s">
        <v>2506</v>
      </c>
      <c r="C2330" t="s">
        <v>7</v>
      </c>
      <c r="D2330" t="str">
        <f t="shared" si="89"/>
        <v>556904</v>
      </c>
      <c r="E2330" t="s">
        <v>2186</v>
      </c>
      <c r="F2330" t="s">
        <v>11</v>
      </c>
    </row>
    <row r="2331" spans="1:6" x14ac:dyDescent="0.25">
      <c r="A2331" t="str">
        <f>"70954232"</f>
        <v>70954232</v>
      </c>
      <c r="B2331" t="s">
        <v>2507</v>
      </c>
      <c r="C2331" t="s">
        <v>726</v>
      </c>
      <c r="D2331" t="str">
        <f t="shared" si="89"/>
        <v>556904</v>
      </c>
      <c r="E2331" t="s">
        <v>2186</v>
      </c>
      <c r="F2331" t="s">
        <v>11</v>
      </c>
    </row>
    <row r="2332" spans="1:6" x14ac:dyDescent="0.25">
      <c r="A2332" t="str">
        <f>"68954131"</f>
        <v>68954131</v>
      </c>
      <c r="B2332" t="s">
        <v>2508</v>
      </c>
      <c r="C2332" t="s">
        <v>7</v>
      </c>
      <c r="D2332" t="str">
        <f t="shared" si="89"/>
        <v>556904</v>
      </c>
      <c r="E2332" t="s">
        <v>2186</v>
      </c>
      <c r="F2332" t="s">
        <v>11</v>
      </c>
    </row>
    <row r="2333" spans="1:6" x14ac:dyDescent="0.25">
      <c r="A2333" t="str">
        <f>"26556863"</f>
        <v>26556863</v>
      </c>
      <c r="B2333" t="s">
        <v>2509</v>
      </c>
      <c r="C2333" t="s">
        <v>7</v>
      </c>
      <c r="D2333" t="str">
        <f t="shared" si="89"/>
        <v>556904</v>
      </c>
      <c r="E2333" t="s">
        <v>2186</v>
      </c>
      <c r="F2333" t="s">
        <v>389</v>
      </c>
    </row>
    <row r="2334" spans="1:6" x14ac:dyDescent="0.25">
      <c r="A2334" t="str">
        <f>"27029140"</f>
        <v>27029140</v>
      </c>
      <c r="B2334" t="s">
        <v>2510</v>
      </c>
      <c r="C2334" t="s">
        <v>7</v>
      </c>
      <c r="D2334" t="str">
        <f t="shared" si="89"/>
        <v>556904</v>
      </c>
      <c r="E2334" t="s">
        <v>2186</v>
      </c>
      <c r="F2334" t="s">
        <v>11</v>
      </c>
    </row>
    <row r="2335" spans="1:6" x14ac:dyDescent="0.25">
      <c r="A2335" t="str">
        <f>"46745173"</f>
        <v>46745173</v>
      </c>
      <c r="B2335" t="s">
        <v>2511</v>
      </c>
      <c r="C2335" t="s">
        <v>7</v>
      </c>
      <c r="D2335" t="str">
        <f t="shared" si="89"/>
        <v>556904</v>
      </c>
      <c r="E2335" t="s">
        <v>2186</v>
      </c>
      <c r="F2335" t="s">
        <v>11</v>
      </c>
    </row>
    <row r="2336" spans="1:6" x14ac:dyDescent="0.25">
      <c r="A2336" t="str">
        <f>"27029441"</f>
        <v>27029441</v>
      </c>
      <c r="B2336" t="s">
        <v>2512</v>
      </c>
      <c r="C2336" t="s">
        <v>7</v>
      </c>
      <c r="D2336" t="str">
        <f t="shared" si="89"/>
        <v>556904</v>
      </c>
      <c r="E2336" t="s">
        <v>2186</v>
      </c>
      <c r="F2336" t="s">
        <v>11</v>
      </c>
    </row>
    <row r="2337" spans="1:6" x14ac:dyDescent="0.25">
      <c r="A2337" t="str">
        <f>"22834567"</f>
        <v>22834567</v>
      </c>
      <c r="B2337" t="s">
        <v>2513</v>
      </c>
      <c r="C2337" t="s">
        <v>7</v>
      </c>
      <c r="D2337" t="str">
        <f t="shared" si="89"/>
        <v>556904</v>
      </c>
      <c r="E2337" t="s">
        <v>2186</v>
      </c>
      <c r="F2337" t="s">
        <v>13</v>
      </c>
    </row>
    <row r="2338" spans="1:6" x14ac:dyDescent="0.25">
      <c r="A2338" t="str">
        <f>"72544422"</f>
        <v>72544422</v>
      </c>
      <c r="B2338" t="s">
        <v>2514</v>
      </c>
      <c r="C2338" t="s">
        <v>2224</v>
      </c>
      <c r="D2338" t="str">
        <f t="shared" si="89"/>
        <v>556904</v>
      </c>
      <c r="E2338" t="s">
        <v>2186</v>
      </c>
      <c r="F2338" t="s">
        <v>2392</v>
      </c>
    </row>
    <row r="2339" spans="1:6" x14ac:dyDescent="0.25">
      <c r="A2339" t="str">
        <f>"27023478"</f>
        <v>27023478</v>
      </c>
      <c r="B2339" t="s">
        <v>2515</v>
      </c>
      <c r="C2339" t="s">
        <v>7</v>
      </c>
      <c r="D2339" t="str">
        <f t="shared" si="89"/>
        <v>556904</v>
      </c>
      <c r="E2339" t="s">
        <v>2186</v>
      </c>
      <c r="F2339" t="s">
        <v>11</v>
      </c>
    </row>
    <row r="2340" spans="1:6" x14ac:dyDescent="0.25">
      <c r="A2340" t="str">
        <f>"22735879"</f>
        <v>22735879</v>
      </c>
      <c r="B2340" t="s">
        <v>2516</v>
      </c>
      <c r="C2340" t="s">
        <v>7</v>
      </c>
      <c r="D2340" t="str">
        <f t="shared" si="89"/>
        <v>556904</v>
      </c>
      <c r="E2340" t="s">
        <v>2186</v>
      </c>
      <c r="F2340" t="s">
        <v>11</v>
      </c>
    </row>
    <row r="2341" spans="1:6" x14ac:dyDescent="0.25">
      <c r="A2341" t="str">
        <f>"00832227"</f>
        <v>00832227</v>
      </c>
      <c r="B2341" t="s">
        <v>2517</v>
      </c>
      <c r="C2341" t="s">
        <v>726</v>
      </c>
      <c r="D2341" t="str">
        <f t="shared" si="89"/>
        <v>556904</v>
      </c>
      <c r="E2341" t="s">
        <v>2186</v>
      </c>
      <c r="F2341" t="s">
        <v>11</v>
      </c>
    </row>
    <row r="2342" spans="1:6" x14ac:dyDescent="0.25">
      <c r="A2342" t="str">
        <f>"46749926"</f>
        <v>46749926</v>
      </c>
      <c r="B2342" t="s">
        <v>2518</v>
      </c>
      <c r="C2342" t="s">
        <v>7</v>
      </c>
      <c r="D2342" t="str">
        <f t="shared" si="89"/>
        <v>556904</v>
      </c>
      <c r="E2342" t="s">
        <v>2186</v>
      </c>
      <c r="F2342" t="s">
        <v>11</v>
      </c>
    </row>
    <row r="2343" spans="1:6" x14ac:dyDescent="0.25">
      <c r="A2343" t="str">
        <f>"06427740"</f>
        <v>06427740</v>
      </c>
      <c r="B2343" t="s">
        <v>2519</v>
      </c>
      <c r="C2343" t="s">
        <v>7</v>
      </c>
      <c r="D2343" t="str">
        <f t="shared" si="89"/>
        <v>556904</v>
      </c>
      <c r="E2343" t="s">
        <v>2186</v>
      </c>
      <c r="F2343" t="s">
        <v>13</v>
      </c>
    </row>
    <row r="2344" spans="1:6" x14ac:dyDescent="0.25">
      <c r="A2344" t="str">
        <f>"05666082"</f>
        <v>05666082</v>
      </c>
      <c r="B2344" t="s">
        <v>2520</v>
      </c>
      <c r="C2344" t="s">
        <v>7</v>
      </c>
      <c r="D2344" t="str">
        <f t="shared" ref="D2344:D2407" si="90">"556904"</f>
        <v>556904</v>
      </c>
      <c r="E2344" t="s">
        <v>2186</v>
      </c>
      <c r="F2344" t="s">
        <v>11</v>
      </c>
    </row>
    <row r="2345" spans="1:6" x14ac:dyDescent="0.25">
      <c r="A2345" t="str">
        <f>"22818006"</f>
        <v>22818006</v>
      </c>
      <c r="B2345" t="s">
        <v>2521</v>
      </c>
      <c r="C2345" t="s">
        <v>7</v>
      </c>
      <c r="D2345" t="str">
        <f t="shared" si="90"/>
        <v>556904</v>
      </c>
      <c r="E2345" t="s">
        <v>2186</v>
      </c>
      <c r="F2345" t="s">
        <v>11</v>
      </c>
    </row>
    <row r="2346" spans="1:6" x14ac:dyDescent="0.25">
      <c r="A2346" t="str">
        <f>"27024181"</f>
        <v>27024181</v>
      </c>
      <c r="B2346" t="s">
        <v>2522</v>
      </c>
      <c r="C2346" t="s">
        <v>7</v>
      </c>
      <c r="D2346" t="str">
        <f t="shared" si="90"/>
        <v>556904</v>
      </c>
      <c r="E2346" t="s">
        <v>2186</v>
      </c>
      <c r="F2346" t="s">
        <v>11</v>
      </c>
    </row>
    <row r="2347" spans="1:6" x14ac:dyDescent="0.25">
      <c r="A2347" t="str">
        <f>"26987368"</f>
        <v>26987368</v>
      </c>
      <c r="B2347" t="s">
        <v>2523</v>
      </c>
      <c r="C2347" t="s">
        <v>7</v>
      </c>
      <c r="D2347" t="str">
        <f t="shared" si="90"/>
        <v>556904</v>
      </c>
      <c r="E2347" t="s">
        <v>2186</v>
      </c>
      <c r="F2347" t="s">
        <v>11</v>
      </c>
    </row>
    <row r="2348" spans="1:6" x14ac:dyDescent="0.25">
      <c r="A2348" t="str">
        <f>"02141426"</f>
        <v>02141426</v>
      </c>
      <c r="B2348" t="s">
        <v>2524</v>
      </c>
      <c r="C2348" t="s">
        <v>7</v>
      </c>
      <c r="D2348" t="str">
        <f t="shared" si="90"/>
        <v>556904</v>
      </c>
      <c r="E2348" t="s">
        <v>2186</v>
      </c>
      <c r="F2348" t="s">
        <v>11</v>
      </c>
    </row>
    <row r="2349" spans="1:6" x14ac:dyDescent="0.25">
      <c r="A2349" t="str">
        <f>"22668811"</f>
        <v>22668811</v>
      </c>
      <c r="B2349" t="s">
        <v>2525</v>
      </c>
      <c r="C2349" t="s">
        <v>7</v>
      </c>
      <c r="D2349" t="str">
        <f t="shared" si="90"/>
        <v>556904</v>
      </c>
      <c r="E2349" t="s">
        <v>2186</v>
      </c>
      <c r="F2349" t="s">
        <v>9</v>
      </c>
    </row>
    <row r="2350" spans="1:6" x14ac:dyDescent="0.25">
      <c r="A2350" t="str">
        <f>"22670424"</f>
        <v>22670424</v>
      </c>
      <c r="B2350" t="s">
        <v>2526</v>
      </c>
      <c r="C2350" t="s">
        <v>7</v>
      </c>
      <c r="D2350" t="str">
        <f t="shared" si="90"/>
        <v>556904</v>
      </c>
      <c r="E2350" t="s">
        <v>2186</v>
      </c>
      <c r="F2350" t="s">
        <v>11</v>
      </c>
    </row>
    <row r="2351" spans="1:6" x14ac:dyDescent="0.25">
      <c r="A2351" t="str">
        <f>"46745076"</f>
        <v>46745076</v>
      </c>
      <c r="B2351" t="s">
        <v>2527</v>
      </c>
      <c r="C2351" t="s">
        <v>43</v>
      </c>
      <c r="D2351" t="str">
        <f t="shared" si="90"/>
        <v>556904</v>
      </c>
      <c r="E2351" t="s">
        <v>2186</v>
      </c>
      <c r="F2351" t="s">
        <v>44</v>
      </c>
    </row>
    <row r="2352" spans="1:6" x14ac:dyDescent="0.25">
      <c r="A2352" t="str">
        <f>"22663622"</f>
        <v>22663622</v>
      </c>
      <c r="B2352" t="s">
        <v>2528</v>
      </c>
      <c r="C2352" t="s">
        <v>7</v>
      </c>
      <c r="D2352" t="str">
        <f t="shared" si="90"/>
        <v>556904</v>
      </c>
      <c r="E2352" t="s">
        <v>2186</v>
      </c>
      <c r="F2352" t="s">
        <v>11</v>
      </c>
    </row>
    <row r="2353" spans="1:6" x14ac:dyDescent="0.25">
      <c r="A2353" t="str">
        <f>"27030873"</f>
        <v>27030873</v>
      </c>
      <c r="B2353" t="s">
        <v>2529</v>
      </c>
      <c r="C2353" t="s">
        <v>7</v>
      </c>
      <c r="D2353" t="str">
        <f t="shared" si="90"/>
        <v>556904</v>
      </c>
      <c r="E2353" t="s">
        <v>2186</v>
      </c>
      <c r="F2353" t="s">
        <v>9</v>
      </c>
    </row>
    <row r="2354" spans="1:6" x14ac:dyDescent="0.25">
      <c r="A2354" t="str">
        <f>"22819550"</f>
        <v>22819550</v>
      </c>
      <c r="B2354" t="s">
        <v>2530</v>
      </c>
      <c r="C2354" t="s">
        <v>7</v>
      </c>
      <c r="D2354" t="str">
        <f t="shared" si="90"/>
        <v>556904</v>
      </c>
      <c r="E2354" t="s">
        <v>2186</v>
      </c>
      <c r="F2354" t="s">
        <v>9</v>
      </c>
    </row>
    <row r="2355" spans="1:6" x14ac:dyDescent="0.25">
      <c r="A2355" t="str">
        <f>"01629425"</f>
        <v>01629425</v>
      </c>
      <c r="B2355" t="s">
        <v>2531</v>
      </c>
      <c r="C2355" t="s">
        <v>7</v>
      </c>
      <c r="D2355" t="str">
        <f t="shared" si="90"/>
        <v>556904</v>
      </c>
      <c r="E2355" t="s">
        <v>2186</v>
      </c>
      <c r="F2355" t="s">
        <v>35</v>
      </c>
    </row>
    <row r="2356" spans="1:6" x14ac:dyDescent="0.25">
      <c r="A2356" t="str">
        <f>"22715771"</f>
        <v>22715771</v>
      </c>
      <c r="B2356" t="s">
        <v>2532</v>
      </c>
      <c r="C2356" t="s">
        <v>7</v>
      </c>
      <c r="D2356" t="str">
        <f t="shared" si="90"/>
        <v>556904</v>
      </c>
      <c r="E2356" t="s">
        <v>2186</v>
      </c>
      <c r="F2356" t="s">
        <v>62</v>
      </c>
    </row>
    <row r="2357" spans="1:6" x14ac:dyDescent="0.25">
      <c r="A2357" t="str">
        <f>"46746226"</f>
        <v>46746226</v>
      </c>
      <c r="B2357" t="s">
        <v>2533</v>
      </c>
      <c r="C2357" t="s">
        <v>7</v>
      </c>
      <c r="D2357" t="str">
        <f t="shared" si="90"/>
        <v>556904</v>
      </c>
      <c r="E2357" t="s">
        <v>2186</v>
      </c>
      <c r="F2357" t="s">
        <v>9</v>
      </c>
    </row>
    <row r="2358" spans="1:6" x14ac:dyDescent="0.25">
      <c r="A2358" t="str">
        <f>"26659671"</f>
        <v>26659671</v>
      </c>
      <c r="B2358" t="s">
        <v>2534</v>
      </c>
      <c r="C2358" t="s">
        <v>7</v>
      </c>
      <c r="D2358" t="str">
        <f t="shared" si="90"/>
        <v>556904</v>
      </c>
      <c r="E2358" t="s">
        <v>2186</v>
      </c>
      <c r="F2358" t="s">
        <v>9</v>
      </c>
    </row>
    <row r="2359" spans="1:6" x14ac:dyDescent="0.25">
      <c r="A2359" t="str">
        <f>"18381243"</f>
        <v>18381243</v>
      </c>
      <c r="B2359" t="s">
        <v>2535</v>
      </c>
      <c r="C2359" t="s">
        <v>7</v>
      </c>
      <c r="D2359" t="str">
        <f t="shared" si="90"/>
        <v>556904</v>
      </c>
      <c r="E2359" t="s">
        <v>2186</v>
      </c>
      <c r="F2359" t="s">
        <v>9</v>
      </c>
    </row>
    <row r="2360" spans="1:6" x14ac:dyDescent="0.25">
      <c r="A2360" t="str">
        <f>"01523864"</f>
        <v>01523864</v>
      </c>
      <c r="B2360" t="s">
        <v>2536</v>
      </c>
      <c r="C2360" t="s">
        <v>7</v>
      </c>
      <c r="D2360" t="str">
        <f t="shared" si="90"/>
        <v>556904</v>
      </c>
      <c r="E2360" t="s">
        <v>2186</v>
      </c>
      <c r="F2360" t="s">
        <v>11</v>
      </c>
    </row>
    <row r="2361" spans="1:6" x14ac:dyDescent="0.25">
      <c r="A2361" t="str">
        <f>"22709827"</f>
        <v>22709827</v>
      </c>
      <c r="B2361" t="s">
        <v>2537</v>
      </c>
      <c r="C2361" t="s">
        <v>7</v>
      </c>
      <c r="D2361" t="str">
        <f t="shared" si="90"/>
        <v>556904</v>
      </c>
      <c r="E2361" t="s">
        <v>2186</v>
      </c>
      <c r="F2361" t="s">
        <v>9</v>
      </c>
    </row>
    <row r="2362" spans="1:6" x14ac:dyDescent="0.25">
      <c r="A2362" t="str">
        <f>"69387991"</f>
        <v>69387991</v>
      </c>
      <c r="B2362" t="s">
        <v>2538</v>
      </c>
      <c r="C2362" t="s">
        <v>20</v>
      </c>
      <c r="D2362" t="str">
        <f t="shared" si="90"/>
        <v>556904</v>
      </c>
      <c r="E2362" t="s">
        <v>2186</v>
      </c>
      <c r="F2362" t="s">
        <v>21</v>
      </c>
    </row>
    <row r="2363" spans="1:6" x14ac:dyDescent="0.25">
      <c r="A2363" t="str">
        <f>"70948763"</f>
        <v>70948763</v>
      </c>
      <c r="B2363" t="s">
        <v>2539</v>
      </c>
      <c r="C2363" t="s">
        <v>20</v>
      </c>
      <c r="D2363" t="str">
        <f t="shared" si="90"/>
        <v>556904</v>
      </c>
      <c r="E2363" t="s">
        <v>2186</v>
      </c>
      <c r="F2363" t="s">
        <v>21</v>
      </c>
    </row>
    <row r="2364" spans="1:6" x14ac:dyDescent="0.25">
      <c r="A2364" t="str">
        <f>"01850211"</f>
        <v>01850211</v>
      </c>
      <c r="B2364" t="s">
        <v>2540</v>
      </c>
      <c r="C2364" t="s">
        <v>7</v>
      </c>
      <c r="D2364" t="str">
        <f t="shared" si="90"/>
        <v>556904</v>
      </c>
      <c r="E2364" t="s">
        <v>2186</v>
      </c>
      <c r="F2364" t="s">
        <v>11</v>
      </c>
    </row>
    <row r="2365" spans="1:6" x14ac:dyDescent="0.25">
      <c r="A2365" t="str">
        <f>"19972598"</f>
        <v>19972598</v>
      </c>
      <c r="B2365" t="s">
        <v>2541</v>
      </c>
      <c r="C2365" t="s">
        <v>7</v>
      </c>
      <c r="D2365" t="str">
        <f t="shared" si="90"/>
        <v>556904</v>
      </c>
      <c r="E2365" t="s">
        <v>2186</v>
      </c>
      <c r="F2365" t="s">
        <v>11</v>
      </c>
    </row>
    <row r="2366" spans="1:6" x14ac:dyDescent="0.25">
      <c r="A2366" t="str">
        <f>"65635698"</f>
        <v>65635698</v>
      </c>
      <c r="B2366" t="s">
        <v>2542</v>
      </c>
      <c r="C2366" t="s">
        <v>7</v>
      </c>
      <c r="D2366" t="str">
        <f t="shared" si="90"/>
        <v>556904</v>
      </c>
      <c r="E2366" t="s">
        <v>2186</v>
      </c>
      <c r="F2366" t="s">
        <v>2543</v>
      </c>
    </row>
    <row r="2367" spans="1:6" x14ac:dyDescent="0.25">
      <c r="A2367" t="str">
        <f>"28557441"</f>
        <v>28557441</v>
      </c>
      <c r="B2367" t="s">
        <v>2544</v>
      </c>
      <c r="C2367" t="s">
        <v>7</v>
      </c>
      <c r="D2367" t="str">
        <f t="shared" si="90"/>
        <v>556904</v>
      </c>
      <c r="E2367" t="s">
        <v>2186</v>
      </c>
      <c r="F2367" t="s">
        <v>35</v>
      </c>
    </row>
    <row r="2368" spans="1:6" x14ac:dyDescent="0.25">
      <c r="A2368" t="str">
        <f>"22611011"</f>
        <v>22611011</v>
      </c>
      <c r="B2368" t="s">
        <v>2545</v>
      </c>
      <c r="C2368" t="s">
        <v>7</v>
      </c>
      <c r="D2368" t="str">
        <f t="shared" si="90"/>
        <v>556904</v>
      </c>
      <c r="E2368" t="s">
        <v>2186</v>
      </c>
      <c r="F2368" t="s">
        <v>11</v>
      </c>
    </row>
    <row r="2369" spans="1:6" x14ac:dyDescent="0.25">
      <c r="A2369" t="str">
        <f>"22886249"</f>
        <v>22886249</v>
      </c>
      <c r="B2369" t="s">
        <v>2546</v>
      </c>
      <c r="C2369" t="s">
        <v>7</v>
      </c>
      <c r="D2369" t="str">
        <f t="shared" si="90"/>
        <v>556904</v>
      </c>
      <c r="E2369" t="s">
        <v>2186</v>
      </c>
      <c r="F2369" t="s">
        <v>62</v>
      </c>
    </row>
    <row r="2370" spans="1:6" x14ac:dyDescent="0.25">
      <c r="A2370" t="str">
        <f>"22671005"</f>
        <v>22671005</v>
      </c>
      <c r="B2370" t="s">
        <v>2547</v>
      </c>
      <c r="C2370" t="s">
        <v>7</v>
      </c>
      <c r="D2370" t="str">
        <f t="shared" si="90"/>
        <v>556904</v>
      </c>
      <c r="E2370" t="s">
        <v>2186</v>
      </c>
      <c r="F2370" t="s">
        <v>11</v>
      </c>
    </row>
    <row r="2371" spans="1:6" x14ac:dyDescent="0.25">
      <c r="A2371" t="str">
        <f>"46747541"</f>
        <v>46747541</v>
      </c>
      <c r="B2371" t="s">
        <v>2548</v>
      </c>
      <c r="C2371" t="s">
        <v>7</v>
      </c>
      <c r="D2371" t="str">
        <f t="shared" si="90"/>
        <v>556904</v>
      </c>
      <c r="E2371" t="s">
        <v>2186</v>
      </c>
      <c r="F2371" t="s">
        <v>9</v>
      </c>
    </row>
    <row r="2372" spans="1:6" x14ac:dyDescent="0.25">
      <c r="A2372" t="str">
        <f>"46749811"</f>
        <v>46749811</v>
      </c>
      <c r="B2372" t="s">
        <v>2549</v>
      </c>
      <c r="C2372" t="s">
        <v>7</v>
      </c>
      <c r="D2372" t="str">
        <f t="shared" si="90"/>
        <v>556904</v>
      </c>
      <c r="E2372" t="s">
        <v>2186</v>
      </c>
      <c r="F2372" t="s">
        <v>9</v>
      </c>
    </row>
    <row r="2373" spans="1:6" x14ac:dyDescent="0.25">
      <c r="A2373" t="str">
        <f>"46744312"</f>
        <v>46744312</v>
      </c>
      <c r="B2373" t="s">
        <v>2550</v>
      </c>
      <c r="C2373" t="s">
        <v>7</v>
      </c>
      <c r="D2373" t="str">
        <f t="shared" si="90"/>
        <v>556904</v>
      </c>
      <c r="E2373" t="s">
        <v>2186</v>
      </c>
      <c r="F2373" t="s">
        <v>9</v>
      </c>
    </row>
    <row r="2374" spans="1:6" x14ac:dyDescent="0.25">
      <c r="A2374" t="str">
        <f>"46749411"</f>
        <v>46749411</v>
      </c>
      <c r="B2374" t="s">
        <v>2551</v>
      </c>
      <c r="C2374" t="s">
        <v>78</v>
      </c>
      <c r="D2374" t="str">
        <f t="shared" si="90"/>
        <v>556904</v>
      </c>
      <c r="E2374" t="s">
        <v>2186</v>
      </c>
      <c r="F2374" t="s">
        <v>2552</v>
      </c>
    </row>
    <row r="2375" spans="1:6" x14ac:dyDescent="0.25">
      <c r="A2375" t="str">
        <f>"26539888"</f>
        <v>26539888</v>
      </c>
      <c r="B2375" t="s">
        <v>2553</v>
      </c>
      <c r="C2375" t="s">
        <v>7</v>
      </c>
      <c r="D2375" t="str">
        <f t="shared" si="90"/>
        <v>556904</v>
      </c>
      <c r="E2375" t="s">
        <v>2186</v>
      </c>
      <c r="F2375" t="s">
        <v>11</v>
      </c>
    </row>
    <row r="2376" spans="1:6" x14ac:dyDescent="0.25">
      <c r="A2376" t="str">
        <f>"22554131"</f>
        <v>22554131</v>
      </c>
      <c r="B2376" t="s">
        <v>2554</v>
      </c>
      <c r="C2376" t="s">
        <v>7</v>
      </c>
      <c r="D2376" t="str">
        <f t="shared" si="90"/>
        <v>556904</v>
      </c>
      <c r="E2376" t="s">
        <v>2186</v>
      </c>
      <c r="F2376" t="s">
        <v>35</v>
      </c>
    </row>
    <row r="2377" spans="1:6" x14ac:dyDescent="0.25">
      <c r="A2377" t="str">
        <f>"28558073"</f>
        <v>28558073</v>
      </c>
      <c r="B2377" t="s">
        <v>2555</v>
      </c>
      <c r="C2377" t="s">
        <v>7</v>
      </c>
      <c r="D2377" t="str">
        <f t="shared" si="90"/>
        <v>556904</v>
      </c>
      <c r="E2377" t="s">
        <v>2186</v>
      </c>
      <c r="F2377" t="s">
        <v>11</v>
      </c>
    </row>
    <row r="2378" spans="1:6" x14ac:dyDescent="0.25">
      <c r="A2378" t="str">
        <f>"22894527"</f>
        <v>22894527</v>
      </c>
      <c r="B2378" t="s">
        <v>2556</v>
      </c>
      <c r="C2378" t="s">
        <v>7</v>
      </c>
      <c r="D2378" t="str">
        <f t="shared" si="90"/>
        <v>556904</v>
      </c>
      <c r="E2378" t="s">
        <v>2186</v>
      </c>
      <c r="F2378" t="s">
        <v>11</v>
      </c>
    </row>
    <row r="2379" spans="1:6" x14ac:dyDescent="0.25">
      <c r="A2379" t="str">
        <f>"26566699"</f>
        <v>26566699</v>
      </c>
      <c r="B2379" t="s">
        <v>2557</v>
      </c>
      <c r="C2379" t="s">
        <v>7</v>
      </c>
      <c r="D2379" t="str">
        <f t="shared" si="90"/>
        <v>556904</v>
      </c>
      <c r="E2379" t="s">
        <v>2186</v>
      </c>
      <c r="F2379" t="s">
        <v>9</v>
      </c>
    </row>
    <row r="2380" spans="1:6" x14ac:dyDescent="0.25">
      <c r="A2380" t="str">
        <f>"22900624"</f>
        <v>22900624</v>
      </c>
      <c r="B2380" t="s">
        <v>2558</v>
      </c>
      <c r="C2380" t="s">
        <v>7</v>
      </c>
      <c r="D2380" t="str">
        <f t="shared" si="90"/>
        <v>556904</v>
      </c>
      <c r="E2380" t="s">
        <v>2186</v>
      </c>
      <c r="F2380" t="s">
        <v>9</v>
      </c>
    </row>
    <row r="2381" spans="1:6" x14ac:dyDescent="0.25">
      <c r="A2381" t="str">
        <f>"11965088"</f>
        <v>11965088</v>
      </c>
      <c r="B2381" t="s">
        <v>2559</v>
      </c>
      <c r="C2381" t="s">
        <v>7</v>
      </c>
      <c r="D2381" t="str">
        <f t="shared" si="90"/>
        <v>556904</v>
      </c>
      <c r="E2381" t="s">
        <v>2186</v>
      </c>
      <c r="F2381" t="s">
        <v>9</v>
      </c>
    </row>
    <row r="2382" spans="1:6" x14ac:dyDescent="0.25">
      <c r="A2382" t="str">
        <f>"26592291"</f>
        <v>26592291</v>
      </c>
      <c r="B2382" t="s">
        <v>2560</v>
      </c>
      <c r="C2382" t="s">
        <v>7</v>
      </c>
      <c r="D2382" t="str">
        <f t="shared" si="90"/>
        <v>556904</v>
      </c>
      <c r="E2382" t="s">
        <v>2186</v>
      </c>
      <c r="F2382" t="s">
        <v>9</v>
      </c>
    </row>
    <row r="2383" spans="1:6" x14ac:dyDescent="0.25">
      <c r="A2383" t="str">
        <f>"46744461"</f>
        <v>46744461</v>
      </c>
      <c r="B2383" t="s">
        <v>2561</v>
      </c>
      <c r="C2383" t="s">
        <v>7</v>
      </c>
      <c r="D2383" t="str">
        <f t="shared" si="90"/>
        <v>556904</v>
      </c>
      <c r="E2383" t="s">
        <v>2186</v>
      </c>
      <c r="F2383" t="s">
        <v>9</v>
      </c>
    </row>
    <row r="2384" spans="1:6" x14ac:dyDescent="0.25">
      <c r="A2384" t="str">
        <f>"26523060"</f>
        <v>26523060</v>
      </c>
      <c r="B2384" t="s">
        <v>2562</v>
      </c>
      <c r="C2384" t="s">
        <v>7</v>
      </c>
      <c r="D2384" t="str">
        <f t="shared" si="90"/>
        <v>556904</v>
      </c>
      <c r="E2384" t="s">
        <v>2186</v>
      </c>
      <c r="F2384" t="s">
        <v>11</v>
      </c>
    </row>
    <row r="2385" spans="1:6" x14ac:dyDescent="0.25">
      <c r="A2385" t="str">
        <f>"26621151"</f>
        <v>26621151</v>
      </c>
      <c r="B2385" t="s">
        <v>2563</v>
      </c>
      <c r="C2385" t="s">
        <v>7</v>
      </c>
      <c r="D2385" t="str">
        <f t="shared" si="90"/>
        <v>556904</v>
      </c>
      <c r="E2385" t="s">
        <v>2186</v>
      </c>
      <c r="F2385" t="s">
        <v>11</v>
      </c>
    </row>
    <row r="2386" spans="1:6" x14ac:dyDescent="0.25">
      <c r="A2386" t="str">
        <f>"26678799"</f>
        <v>26678799</v>
      </c>
      <c r="B2386" t="s">
        <v>2564</v>
      </c>
      <c r="C2386" t="s">
        <v>7</v>
      </c>
      <c r="D2386" t="str">
        <f t="shared" si="90"/>
        <v>556904</v>
      </c>
      <c r="E2386" t="s">
        <v>2186</v>
      </c>
      <c r="F2386" t="s">
        <v>11</v>
      </c>
    </row>
    <row r="2387" spans="1:6" x14ac:dyDescent="0.25">
      <c r="A2387" t="str">
        <f>"04054181"</f>
        <v>04054181</v>
      </c>
      <c r="B2387" t="s">
        <v>2565</v>
      </c>
      <c r="C2387" t="s">
        <v>7</v>
      </c>
      <c r="D2387" t="str">
        <f t="shared" si="90"/>
        <v>556904</v>
      </c>
      <c r="E2387" t="s">
        <v>2186</v>
      </c>
      <c r="F2387" t="s">
        <v>35</v>
      </c>
    </row>
    <row r="2388" spans="1:6" x14ac:dyDescent="0.25">
      <c r="A2388" t="str">
        <f>"02431173"</f>
        <v>02431173</v>
      </c>
      <c r="B2388" t="s">
        <v>2566</v>
      </c>
      <c r="C2388" t="s">
        <v>7</v>
      </c>
      <c r="D2388" t="str">
        <f t="shared" si="90"/>
        <v>556904</v>
      </c>
      <c r="E2388" t="s">
        <v>2186</v>
      </c>
      <c r="F2388" t="s">
        <v>11</v>
      </c>
    </row>
    <row r="2389" spans="1:6" x14ac:dyDescent="0.25">
      <c r="A2389" t="str">
        <f>"22906045"</f>
        <v>22906045</v>
      </c>
      <c r="B2389" t="s">
        <v>2567</v>
      </c>
      <c r="C2389" t="s">
        <v>7</v>
      </c>
      <c r="D2389" t="str">
        <f t="shared" si="90"/>
        <v>556904</v>
      </c>
      <c r="E2389" t="s">
        <v>2186</v>
      </c>
      <c r="F2389" t="s">
        <v>11</v>
      </c>
    </row>
    <row r="2390" spans="1:6" x14ac:dyDescent="0.25">
      <c r="A2390" t="str">
        <f>"22822712"</f>
        <v>22822712</v>
      </c>
      <c r="B2390" t="s">
        <v>2568</v>
      </c>
      <c r="C2390" t="s">
        <v>7</v>
      </c>
      <c r="D2390" t="str">
        <f t="shared" si="90"/>
        <v>556904</v>
      </c>
      <c r="E2390" t="s">
        <v>2186</v>
      </c>
      <c r="F2390" t="s">
        <v>11</v>
      </c>
    </row>
    <row r="2391" spans="1:6" x14ac:dyDescent="0.25">
      <c r="A2391" t="str">
        <f>"26660547"</f>
        <v>26660547</v>
      </c>
      <c r="B2391" t="s">
        <v>2569</v>
      </c>
      <c r="C2391" t="s">
        <v>7</v>
      </c>
      <c r="D2391" t="str">
        <f t="shared" si="90"/>
        <v>556904</v>
      </c>
      <c r="E2391" t="s">
        <v>2186</v>
      </c>
      <c r="F2391" t="s">
        <v>11</v>
      </c>
    </row>
    <row r="2392" spans="1:6" x14ac:dyDescent="0.25">
      <c r="A2392" t="str">
        <f>"27039064"</f>
        <v>27039064</v>
      </c>
      <c r="B2392" t="s">
        <v>2570</v>
      </c>
      <c r="C2392" t="s">
        <v>7</v>
      </c>
      <c r="D2392" t="str">
        <f t="shared" si="90"/>
        <v>556904</v>
      </c>
      <c r="E2392" t="s">
        <v>2186</v>
      </c>
      <c r="F2392" t="s">
        <v>9</v>
      </c>
    </row>
    <row r="2393" spans="1:6" x14ac:dyDescent="0.25">
      <c r="A2393" t="str">
        <f>"28705327"</f>
        <v>28705327</v>
      </c>
      <c r="B2393" t="s">
        <v>2571</v>
      </c>
      <c r="C2393" t="s">
        <v>78</v>
      </c>
      <c r="D2393" t="str">
        <f t="shared" si="90"/>
        <v>556904</v>
      </c>
      <c r="E2393" t="s">
        <v>2186</v>
      </c>
      <c r="F2393" t="s">
        <v>11</v>
      </c>
    </row>
    <row r="2394" spans="1:6" x14ac:dyDescent="0.25">
      <c r="A2394" t="str">
        <f>"01419668"</f>
        <v>01419668</v>
      </c>
      <c r="B2394" t="s">
        <v>2572</v>
      </c>
      <c r="C2394" t="s">
        <v>7</v>
      </c>
      <c r="D2394" t="str">
        <f t="shared" si="90"/>
        <v>556904</v>
      </c>
      <c r="E2394" t="s">
        <v>2186</v>
      </c>
      <c r="F2394" t="s">
        <v>29</v>
      </c>
    </row>
    <row r="2395" spans="1:6" x14ac:dyDescent="0.25">
      <c r="A2395" t="str">
        <f>"09741780"</f>
        <v>09741780</v>
      </c>
      <c r="B2395" t="s">
        <v>2573</v>
      </c>
      <c r="C2395" t="s">
        <v>7</v>
      </c>
      <c r="D2395" t="str">
        <f t="shared" si="90"/>
        <v>556904</v>
      </c>
      <c r="E2395" t="s">
        <v>2186</v>
      </c>
      <c r="F2395" t="s">
        <v>13</v>
      </c>
    </row>
    <row r="2396" spans="1:6" x14ac:dyDescent="0.25">
      <c r="A2396" t="str">
        <f>"22725890"</f>
        <v>22725890</v>
      </c>
      <c r="B2396" t="s">
        <v>2574</v>
      </c>
      <c r="C2396" t="s">
        <v>7</v>
      </c>
      <c r="D2396" t="str">
        <f t="shared" si="90"/>
        <v>556904</v>
      </c>
      <c r="E2396" t="s">
        <v>2186</v>
      </c>
      <c r="F2396" t="s">
        <v>11</v>
      </c>
    </row>
    <row r="2397" spans="1:6" x14ac:dyDescent="0.25">
      <c r="A2397" t="str">
        <f>"26672090"</f>
        <v>26672090</v>
      </c>
      <c r="B2397" t="s">
        <v>2575</v>
      </c>
      <c r="C2397" t="s">
        <v>7</v>
      </c>
      <c r="D2397" t="str">
        <f t="shared" si="90"/>
        <v>556904</v>
      </c>
      <c r="E2397" t="s">
        <v>2186</v>
      </c>
      <c r="F2397" t="s">
        <v>9</v>
      </c>
    </row>
    <row r="2398" spans="1:6" x14ac:dyDescent="0.25">
      <c r="A2398" t="str">
        <f>"70811661"</f>
        <v>70811661</v>
      </c>
      <c r="B2398" t="s">
        <v>2576</v>
      </c>
      <c r="C2398" t="s">
        <v>7</v>
      </c>
      <c r="D2398" t="str">
        <f t="shared" si="90"/>
        <v>556904</v>
      </c>
      <c r="E2398" t="s">
        <v>2186</v>
      </c>
      <c r="F2398" t="s">
        <v>35</v>
      </c>
    </row>
    <row r="2399" spans="1:6" x14ac:dyDescent="0.25">
      <c r="A2399" t="str">
        <f>"26650002"</f>
        <v>26650002</v>
      </c>
      <c r="B2399" t="s">
        <v>2577</v>
      </c>
      <c r="C2399" t="s">
        <v>7</v>
      </c>
      <c r="D2399" t="str">
        <f t="shared" si="90"/>
        <v>556904</v>
      </c>
      <c r="E2399" t="s">
        <v>2186</v>
      </c>
      <c r="F2399" t="s">
        <v>9</v>
      </c>
    </row>
    <row r="2400" spans="1:6" x14ac:dyDescent="0.25">
      <c r="A2400" t="str">
        <f>"07968663"</f>
        <v>07968663</v>
      </c>
      <c r="B2400" t="s">
        <v>2578</v>
      </c>
      <c r="C2400" t="s">
        <v>7</v>
      </c>
      <c r="D2400" t="str">
        <f t="shared" si="90"/>
        <v>556904</v>
      </c>
      <c r="E2400" t="s">
        <v>2186</v>
      </c>
      <c r="F2400" t="s">
        <v>2579</v>
      </c>
    </row>
    <row r="2401" spans="1:6" x14ac:dyDescent="0.25">
      <c r="A2401" t="str">
        <f>"70849498"</f>
        <v>70849498</v>
      </c>
      <c r="B2401" t="s">
        <v>2580</v>
      </c>
      <c r="C2401" t="s">
        <v>7</v>
      </c>
      <c r="D2401" t="str">
        <f t="shared" si="90"/>
        <v>556904</v>
      </c>
      <c r="E2401" t="s">
        <v>2186</v>
      </c>
      <c r="F2401" t="s">
        <v>65</v>
      </c>
    </row>
    <row r="2402" spans="1:6" x14ac:dyDescent="0.25">
      <c r="A2402" t="str">
        <f>"22691421"</f>
        <v>22691421</v>
      </c>
      <c r="B2402" t="s">
        <v>2581</v>
      </c>
      <c r="C2402" t="s">
        <v>7</v>
      </c>
      <c r="D2402" t="str">
        <f t="shared" si="90"/>
        <v>556904</v>
      </c>
      <c r="E2402" t="s">
        <v>2186</v>
      </c>
      <c r="F2402" t="s">
        <v>11</v>
      </c>
    </row>
    <row r="2403" spans="1:6" x14ac:dyDescent="0.25">
      <c r="A2403" t="str">
        <f>"17206723"</f>
        <v>17206723</v>
      </c>
      <c r="B2403" t="s">
        <v>2582</v>
      </c>
      <c r="C2403" t="s">
        <v>7</v>
      </c>
      <c r="D2403" t="str">
        <f t="shared" si="90"/>
        <v>556904</v>
      </c>
      <c r="E2403" t="s">
        <v>2186</v>
      </c>
      <c r="F2403" t="s">
        <v>62</v>
      </c>
    </row>
    <row r="2404" spans="1:6" x14ac:dyDescent="0.25">
      <c r="A2404" t="str">
        <f>"22665439"</f>
        <v>22665439</v>
      </c>
      <c r="B2404" t="s">
        <v>2583</v>
      </c>
      <c r="C2404" t="s">
        <v>7</v>
      </c>
      <c r="D2404" t="str">
        <f t="shared" si="90"/>
        <v>556904</v>
      </c>
      <c r="E2404" t="s">
        <v>2186</v>
      </c>
      <c r="F2404" t="s">
        <v>35</v>
      </c>
    </row>
    <row r="2405" spans="1:6" x14ac:dyDescent="0.25">
      <c r="A2405" t="str">
        <f>"26573296"</f>
        <v>26573296</v>
      </c>
      <c r="B2405" t="s">
        <v>2584</v>
      </c>
      <c r="C2405" t="s">
        <v>7</v>
      </c>
      <c r="D2405" t="str">
        <f t="shared" si="90"/>
        <v>556904</v>
      </c>
      <c r="E2405" t="s">
        <v>2186</v>
      </c>
      <c r="F2405" t="s">
        <v>9</v>
      </c>
    </row>
    <row r="2406" spans="1:6" x14ac:dyDescent="0.25">
      <c r="A2406" t="str">
        <f>"08998931"</f>
        <v>08998931</v>
      </c>
      <c r="B2406" t="s">
        <v>2585</v>
      </c>
      <c r="C2406" t="s">
        <v>7</v>
      </c>
      <c r="D2406" t="str">
        <f t="shared" si="90"/>
        <v>556904</v>
      </c>
      <c r="E2406" t="s">
        <v>2186</v>
      </c>
      <c r="F2406" t="s">
        <v>13</v>
      </c>
    </row>
    <row r="2407" spans="1:6" x14ac:dyDescent="0.25">
      <c r="A2407" t="str">
        <f>"01289276"</f>
        <v>01289276</v>
      </c>
      <c r="B2407" t="s">
        <v>2586</v>
      </c>
      <c r="C2407" t="s">
        <v>7</v>
      </c>
      <c r="D2407" t="str">
        <f t="shared" si="90"/>
        <v>556904</v>
      </c>
      <c r="E2407" t="s">
        <v>2186</v>
      </c>
      <c r="F2407" t="s">
        <v>139</v>
      </c>
    </row>
    <row r="2408" spans="1:6" x14ac:dyDescent="0.25">
      <c r="A2408" t="str">
        <f>"05070139"</f>
        <v>05070139</v>
      </c>
      <c r="B2408" t="s">
        <v>2587</v>
      </c>
      <c r="C2408" t="s">
        <v>7</v>
      </c>
      <c r="D2408" t="str">
        <f t="shared" ref="D2408:D2471" si="91">"556904"</f>
        <v>556904</v>
      </c>
      <c r="E2408" t="s">
        <v>2186</v>
      </c>
      <c r="F2408" t="s">
        <v>11</v>
      </c>
    </row>
    <row r="2409" spans="1:6" x14ac:dyDescent="0.25">
      <c r="A2409" t="str">
        <f>"65100263"</f>
        <v>65100263</v>
      </c>
      <c r="B2409" t="s">
        <v>2588</v>
      </c>
      <c r="C2409" t="s">
        <v>7</v>
      </c>
      <c r="D2409" t="str">
        <f t="shared" si="91"/>
        <v>556904</v>
      </c>
      <c r="E2409" t="s">
        <v>2186</v>
      </c>
      <c r="F2409" t="s">
        <v>9</v>
      </c>
    </row>
    <row r="2410" spans="1:6" x14ac:dyDescent="0.25">
      <c r="A2410" t="str">
        <f>"27022323"</f>
        <v>27022323</v>
      </c>
      <c r="B2410" t="s">
        <v>2589</v>
      </c>
      <c r="C2410" t="s">
        <v>7</v>
      </c>
      <c r="D2410" t="str">
        <f t="shared" si="91"/>
        <v>556904</v>
      </c>
      <c r="E2410" t="s">
        <v>2186</v>
      </c>
      <c r="F2410" t="s">
        <v>11</v>
      </c>
    </row>
    <row r="2411" spans="1:6" x14ac:dyDescent="0.25">
      <c r="A2411" t="str">
        <f>"26563657"</f>
        <v>26563657</v>
      </c>
      <c r="B2411" t="s">
        <v>2590</v>
      </c>
      <c r="C2411" t="s">
        <v>7</v>
      </c>
      <c r="D2411" t="str">
        <f t="shared" si="91"/>
        <v>556904</v>
      </c>
      <c r="E2411" t="s">
        <v>2186</v>
      </c>
      <c r="F2411" t="s">
        <v>11</v>
      </c>
    </row>
    <row r="2412" spans="1:6" x14ac:dyDescent="0.25">
      <c r="A2412" t="str">
        <f>"69388547"</f>
        <v>69388547</v>
      </c>
      <c r="B2412" t="s">
        <v>2591</v>
      </c>
      <c r="C2412" t="s">
        <v>7</v>
      </c>
      <c r="D2412" t="str">
        <f t="shared" si="91"/>
        <v>556904</v>
      </c>
      <c r="E2412" t="s">
        <v>2186</v>
      </c>
      <c r="F2412" t="s">
        <v>254</v>
      </c>
    </row>
    <row r="2413" spans="1:6" x14ac:dyDescent="0.25">
      <c r="A2413" t="str">
        <f>"46745203"</f>
        <v>46745203</v>
      </c>
      <c r="B2413" t="s">
        <v>2592</v>
      </c>
      <c r="C2413" t="s">
        <v>7</v>
      </c>
      <c r="D2413" t="str">
        <f t="shared" si="91"/>
        <v>556904</v>
      </c>
      <c r="E2413" t="s">
        <v>2186</v>
      </c>
      <c r="F2413" t="s">
        <v>11</v>
      </c>
    </row>
    <row r="2414" spans="1:6" x14ac:dyDescent="0.25">
      <c r="A2414" t="str">
        <f>"05173639"</f>
        <v>05173639</v>
      </c>
      <c r="B2414" t="s">
        <v>2593</v>
      </c>
      <c r="C2414" t="s">
        <v>7</v>
      </c>
      <c r="D2414" t="str">
        <f t="shared" si="91"/>
        <v>556904</v>
      </c>
      <c r="E2414" t="s">
        <v>2186</v>
      </c>
      <c r="F2414" t="s">
        <v>11</v>
      </c>
    </row>
    <row r="2415" spans="1:6" x14ac:dyDescent="0.25">
      <c r="A2415" t="str">
        <f>"21357633"</f>
        <v>21357633</v>
      </c>
      <c r="B2415" t="s">
        <v>2594</v>
      </c>
      <c r="C2415" t="s">
        <v>7</v>
      </c>
      <c r="D2415" t="str">
        <f t="shared" si="91"/>
        <v>556904</v>
      </c>
      <c r="E2415" t="s">
        <v>2186</v>
      </c>
      <c r="F2415" t="s">
        <v>29</v>
      </c>
    </row>
    <row r="2416" spans="1:6" x14ac:dyDescent="0.25">
      <c r="A2416" t="str">
        <f>"04701399"</f>
        <v>04701399</v>
      </c>
      <c r="B2416" t="s">
        <v>2595</v>
      </c>
      <c r="C2416" t="s">
        <v>7</v>
      </c>
      <c r="D2416" t="str">
        <f t="shared" si="91"/>
        <v>556904</v>
      </c>
      <c r="E2416" t="s">
        <v>2186</v>
      </c>
      <c r="F2416" t="s">
        <v>29</v>
      </c>
    </row>
    <row r="2417" spans="1:6" x14ac:dyDescent="0.25">
      <c r="A2417" t="str">
        <f>"28556682"</f>
        <v>28556682</v>
      </c>
      <c r="B2417" t="s">
        <v>2596</v>
      </c>
      <c r="C2417" t="s">
        <v>7</v>
      </c>
      <c r="D2417" t="str">
        <f t="shared" si="91"/>
        <v>556904</v>
      </c>
      <c r="E2417" t="s">
        <v>2186</v>
      </c>
      <c r="F2417" t="s">
        <v>11</v>
      </c>
    </row>
    <row r="2418" spans="1:6" x14ac:dyDescent="0.25">
      <c r="A2418" t="str">
        <f>"07550197"</f>
        <v>07550197</v>
      </c>
      <c r="B2418" t="s">
        <v>2597</v>
      </c>
      <c r="C2418" t="s">
        <v>7</v>
      </c>
      <c r="D2418" t="str">
        <f t="shared" si="91"/>
        <v>556904</v>
      </c>
      <c r="E2418" t="s">
        <v>2186</v>
      </c>
      <c r="F2418" t="s">
        <v>11</v>
      </c>
    </row>
    <row r="2419" spans="1:6" x14ac:dyDescent="0.25">
      <c r="A2419" t="str">
        <f>"26644789"</f>
        <v>26644789</v>
      </c>
      <c r="B2419" t="s">
        <v>2598</v>
      </c>
      <c r="C2419" t="s">
        <v>7</v>
      </c>
      <c r="D2419" t="str">
        <f t="shared" si="91"/>
        <v>556904</v>
      </c>
      <c r="E2419" t="s">
        <v>2186</v>
      </c>
      <c r="F2419" t="s">
        <v>11</v>
      </c>
    </row>
    <row r="2420" spans="1:6" x14ac:dyDescent="0.25">
      <c r="A2420" t="str">
        <f>"01208942"</f>
        <v>01208942</v>
      </c>
      <c r="B2420" t="s">
        <v>2599</v>
      </c>
      <c r="C2420" t="s">
        <v>7</v>
      </c>
      <c r="D2420" t="str">
        <f t="shared" si="91"/>
        <v>556904</v>
      </c>
      <c r="E2420" t="s">
        <v>2186</v>
      </c>
      <c r="F2420" t="s">
        <v>62</v>
      </c>
    </row>
    <row r="2421" spans="1:6" x14ac:dyDescent="0.25">
      <c r="A2421" t="str">
        <f>"43226141"</f>
        <v>43226141</v>
      </c>
      <c r="B2421" t="s">
        <v>2600</v>
      </c>
      <c r="C2421" t="s">
        <v>7</v>
      </c>
      <c r="D2421" t="str">
        <f t="shared" si="91"/>
        <v>556904</v>
      </c>
      <c r="E2421" t="s">
        <v>2186</v>
      </c>
      <c r="F2421" t="s">
        <v>11</v>
      </c>
    </row>
    <row r="2422" spans="1:6" x14ac:dyDescent="0.25">
      <c r="A2422" t="str">
        <f>"22843710"</f>
        <v>22843710</v>
      </c>
      <c r="B2422" t="s">
        <v>2601</v>
      </c>
      <c r="C2422" t="s">
        <v>7</v>
      </c>
      <c r="D2422" t="str">
        <f t="shared" si="91"/>
        <v>556904</v>
      </c>
      <c r="E2422" t="s">
        <v>2186</v>
      </c>
      <c r="F2422" t="s">
        <v>11</v>
      </c>
    </row>
    <row r="2423" spans="1:6" x14ac:dyDescent="0.25">
      <c r="A2423" t="str">
        <f>"26553244"</f>
        <v>26553244</v>
      </c>
      <c r="B2423" t="s">
        <v>2602</v>
      </c>
      <c r="C2423" t="s">
        <v>7</v>
      </c>
      <c r="D2423" t="str">
        <f t="shared" si="91"/>
        <v>556904</v>
      </c>
      <c r="E2423" t="s">
        <v>2186</v>
      </c>
      <c r="F2423" t="s">
        <v>11</v>
      </c>
    </row>
    <row r="2424" spans="1:6" x14ac:dyDescent="0.25">
      <c r="A2424" t="str">
        <f>"04404033"</f>
        <v>04404033</v>
      </c>
      <c r="B2424" t="s">
        <v>2603</v>
      </c>
      <c r="C2424" t="s">
        <v>7</v>
      </c>
      <c r="D2424" t="str">
        <f t="shared" si="91"/>
        <v>556904</v>
      </c>
      <c r="E2424" t="s">
        <v>2186</v>
      </c>
      <c r="F2424" t="s">
        <v>62</v>
      </c>
    </row>
    <row r="2425" spans="1:6" x14ac:dyDescent="0.25">
      <c r="A2425" t="str">
        <f>"05667291"</f>
        <v>05667291</v>
      </c>
      <c r="B2425" t="s">
        <v>2604</v>
      </c>
      <c r="C2425" t="s">
        <v>7</v>
      </c>
      <c r="D2425" t="str">
        <f t="shared" si="91"/>
        <v>556904</v>
      </c>
      <c r="E2425" t="s">
        <v>2186</v>
      </c>
      <c r="F2425" t="s">
        <v>35</v>
      </c>
    </row>
    <row r="2426" spans="1:6" x14ac:dyDescent="0.25">
      <c r="A2426" t="str">
        <f>"22609644"</f>
        <v>22609644</v>
      </c>
      <c r="B2426" t="s">
        <v>2605</v>
      </c>
      <c r="C2426" t="s">
        <v>7</v>
      </c>
      <c r="D2426" t="str">
        <f t="shared" si="91"/>
        <v>556904</v>
      </c>
      <c r="E2426" t="s">
        <v>2186</v>
      </c>
      <c r="F2426" t="s">
        <v>9</v>
      </c>
    </row>
    <row r="2427" spans="1:6" x14ac:dyDescent="0.25">
      <c r="A2427" t="str">
        <f>"71166467"</f>
        <v>71166467</v>
      </c>
      <c r="B2427" t="s">
        <v>2606</v>
      </c>
      <c r="C2427" t="s">
        <v>37</v>
      </c>
      <c r="D2427" t="str">
        <f t="shared" si="91"/>
        <v>556904</v>
      </c>
      <c r="E2427" t="s">
        <v>2186</v>
      </c>
      <c r="F2427" t="s">
        <v>38</v>
      </c>
    </row>
    <row r="2428" spans="1:6" x14ac:dyDescent="0.25">
      <c r="A2428" t="str">
        <f>"71176071"</f>
        <v>71176071</v>
      </c>
      <c r="B2428" t="s">
        <v>2607</v>
      </c>
      <c r="C2428" t="s">
        <v>37</v>
      </c>
      <c r="D2428" t="str">
        <f t="shared" si="91"/>
        <v>556904</v>
      </c>
      <c r="E2428" t="s">
        <v>2186</v>
      </c>
      <c r="F2428" t="s">
        <v>38</v>
      </c>
    </row>
    <row r="2429" spans="1:6" x14ac:dyDescent="0.25">
      <c r="A2429" t="str">
        <f>"75052415"</f>
        <v>75052415</v>
      </c>
      <c r="B2429" t="s">
        <v>2608</v>
      </c>
      <c r="C2429" t="s">
        <v>37</v>
      </c>
      <c r="D2429" t="str">
        <f t="shared" si="91"/>
        <v>556904</v>
      </c>
      <c r="E2429" t="s">
        <v>2186</v>
      </c>
      <c r="F2429" t="s">
        <v>38</v>
      </c>
    </row>
    <row r="2430" spans="1:6" x14ac:dyDescent="0.25">
      <c r="A2430" t="str">
        <f>"46745343"</f>
        <v>46745343</v>
      </c>
      <c r="B2430" t="s">
        <v>2609</v>
      </c>
      <c r="C2430" t="s">
        <v>37</v>
      </c>
      <c r="D2430" t="str">
        <f t="shared" si="91"/>
        <v>556904</v>
      </c>
      <c r="E2430" t="s">
        <v>2186</v>
      </c>
      <c r="F2430" t="s">
        <v>38</v>
      </c>
    </row>
    <row r="2431" spans="1:6" x14ac:dyDescent="0.25">
      <c r="A2431" t="str">
        <f>"26617421"</f>
        <v>26617421</v>
      </c>
      <c r="B2431" t="s">
        <v>2610</v>
      </c>
      <c r="C2431" t="s">
        <v>7</v>
      </c>
      <c r="D2431" t="str">
        <f t="shared" si="91"/>
        <v>556904</v>
      </c>
      <c r="E2431" t="s">
        <v>2186</v>
      </c>
      <c r="F2431" t="s">
        <v>9</v>
      </c>
    </row>
    <row r="2432" spans="1:6" x14ac:dyDescent="0.25">
      <c r="A2432" t="str">
        <f>"01921797"</f>
        <v>01921797</v>
      </c>
      <c r="B2432" t="s">
        <v>2611</v>
      </c>
      <c r="C2432" t="s">
        <v>7</v>
      </c>
      <c r="D2432" t="str">
        <f t="shared" si="91"/>
        <v>556904</v>
      </c>
      <c r="E2432" t="s">
        <v>2186</v>
      </c>
      <c r="F2432" t="s">
        <v>62</v>
      </c>
    </row>
    <row r="2433" spans="1:6" x14ac:dyDescent="0.25">
      <c r="A2433" t="str">
        <f>"27022765"</f>
        <v>27022765</v>
      </c>
      <c r="B2433" t="s">
        <v>2612</v>
      </c>
      <c r="C2433" t="s">
        <v>7</v>
      </c>
      <c r="D2433" t="str">
        <f t="shared" si="91"/>
        <v>556904</v>
      </c>
      <c r="E2433" t="s">
        <v>2186</v>
      </c>
      <c r="F2433" t="s">
        <v>11</v>
      </c>
    </row>
    <row r="2434" spans="1:6" x14ac:dyDescent="0.25">
      <c r="A2434" t="str">
        <f>"22679821"</f>
        <v>22679821</v>
      </c>
      <c r="B2434" t="s">
        <v>2613</v>
      </c>
      <c r="C2434" t="s">
        <v>7</v>
      </c>
      <c r="D2434" t="str">
        <f t="shared" si="91"/>
        <v>556904</v>
      </c>
      <c r="E2434" t="s">
        <v>2186</v>
      </c>
      <c r="F2434" t="s">
        <v>11</v>
      </c>
    </row>
    <row r="2435" spans="1:6" x14ac:dyDescent="0.25">
      <c r="A2435" t="str">
        <f>"28700210"</f>
        <v>28700210</v>
      </c>
      <c r="B2435" t="s">
        <v>2614</v>
      </c>
      <c r="C2435" t="s">
        <v>78</v>
      </c>
      <c r="D2435" t="str">
        <f t="shared" si="91"/>
        <v>556904</v>
      </c>
      <c r="E2435" t="s">
        <v>2186</v>
      </c>
      <c r="F2435" t="s">
        <v>1386</v>
      </c>
    </row>
    <row r="2436" spans="1:6" x14ac:dyDescent="0.25">
      <c r="A2436" t="str">
        <f>"26535891"</f>
        <v>26535891</v>
      </c>
      <c r="B2436" t="s">
        <v>2615</v>
      </c>
      <c r="C2436" t="s">
        <v>7</v>
      </c>
      <c r="D2436" t="str">
        <f t="shared" si="91"/>
        <v>556904</v>
      </c>
      <c r="E2436" t="s">
        <v>2186</v>
      </c>
      <c r="F2436" t="s">
        <v>11</v>
      </c>
    </row>
    <row r="2437" spans="1:6" x14ac:dyDescent="0.25">
      <c r="A2437" t="str">
        <f>"22882961"</f>
        <v>22882961</v>
      </c>
      <c r="B2437" t="s">
        <v>2616</v>
      </c>
      <c r="C2437" t="s">
        <v>7</v>
      </c>
      <c r="D2437" t="str">
        <f t="shared" si="91"/>
        <v>556904</v>
      </c>
      <c r="E2437" t="s">
        <v>2186</v>
      </c>
      <c r="F2437" t="s">
        <v>11</v>
      </c>
    </row>
    <row r="2438" spans="1:6" x14ac:dyDescent="0.25">
      <c r="A2438" t="str">
        <f>"70693609"</f>
        <v>70693609</v>
      </c>
      <c r="B2438" t="s">
        <v>2617</v>
      </c>
      <c r="C2438" t="s">
        <v>7</v>
      </c>
      <c r="D2438" t="str">
        <f t="shared" si="91"/>
        <v>556904</v>
      </c>
      <c r="E2438" t="s">
        <v>2186</v>
      </c>
      <c r="F2438" t="s">
        <v>379</v>
      </c>
    </row>
    <row r="2439" spans="1:6" x14ac:dyDescent="0.25">
      <c r="A2439" t="str">
        <f>"21364052"</f>
        <v>21364052</v>
      </c>
      <c r="B2439" t="s">
        <v>2618</v>
      </c>
      <c r="C2439" t="s">
        <v>7</v>
      </c>
      <c r="D2439" t="str">
        <f t="shared" si="91"/>
        <v>556904</v>
      </c>
      <c r="E2439" t="s">
        <v>2186</v>
      </c>
      <c r="F2439" t="s">
        <v>139</v>
      </c>
    </row>
    <row r="2440" spans="1:6" x14ac:dyDescent="0.25">
      <c r="A2440" t="str">
        <f>"71216278"</f>
        <v>71216278</v>
      </c>
      <c r="B2440" t="s">
        <v>2619</v>
      </c>
      <c r="C2440" t="s">
        <v>15</v>
      </c>
      <c r="D2440" t="str">
        <f t="shared" si="91"/>
        <v>556904</v>
      </c>
      <c r="E2440" t="s">
        <v>2186</v>
      </c>
      <c r="F2440" t="s">
        <v>29</v>
      </c>
    </row>
    <row r="2441" spans="1:6" x14ac:dyDescent="0.25">
      <c r="A2441" t="str">
        <f>"07716974"</f>
        <v>07716974</v>
      </c>
      <c r="B2441" t="s">
        <v>2620</v>
      </c>
      <c r="C2441" t="s">
        <v>7</v>
      </c>
      <c r="D2441" t="str">
        <f t="shared" si="91"/>
        <v>556904</v>
      </c>
      <c r="E2441" t="s">
        <v>2186</v>
      </c>
      <c r="F2441" t="s">
        <v>11</v>
      </c>
    </row>
    <row r="2442" spans="1:6" x14ac:dyDescent="0.25">
      <c r="A2442" t="str">
        <f>"04218523"</f>
        <v>04218523</v>
      </c>
      <c r="B2442" t="s">
        <v>2621</v>
      </c>
      <c r="C2442" t="s">
        <v>7</v>
      </c>
      <c r="D2442" t="str">
        <f t="shared" si="91"/>
        <v>556904</v>
      </c>
      <c r="E2442" t="s">
        <v>2186</v>
      </c>
      <c r="F2442" t="s">
        <v>11</v>
      </c>
    </row>
    <row r="2443" spans="1:6" x14ac:dyDescent="0.25">
      <c r="A2443" t="str">
        <f>"70834156"</f>
        <v>70834156</v>
      </c>
      <c r="B2443" t="s">
        <v>2622</v>
      </c>
      <c r="C2443" t="s">
        <v>7</v>
      </c>
      <c r="D2443" t="str">
        <f t="shared" si="91"/>
        <v>556904</v>
      </c>
      <c r="E2443" t="s">
        <v>2186</v>
      </c>
      <c r="F2443" t="s">
        <v>254</v>
      </c>
    </row>
    <row r="2444" spans="1:6" x14ac:dyDescent="0.25">
      <c r="A2444" t="str">
        <f>"70815801"</f>
        <v>70815801</v>
      </c>
      <c r="B2444" t="s">
        <v>2623</v>
      </c>
      <c r="C2444" t="s">
        <v>7</v>
      </c>
      <c r="D2444" t="str">
        <f t="shared" si="91"/>
        <v>556904</v>
      </c>
      <c r="E2444" t="s">
        <v>2186</v>
      </c>
      <c r="F2444" t="s">
        <v>254</v>
      </c>
    </row>
    <row r="2445" spans="1:6" x14ac:dyDescent="0.25">
      <c r="A2445" t="str">
        <f>"69410470"</f>
        <v>69410470</v>
      </c>
      <c r="B2445" t="s">
        <v>2624</v>
      </c>
      <c r="C2445" t="s">
        <v>7</v>
      </c>
      <c r="D2445" t="str">
        <f t="shared" si="91"/>
        <v>556904</v>
      </c>
      <c r="E2445" t="s">
        <v>2186</v>
      </c>
      <c r="F2445" t="s">
        <v>254</v>
      </c>
    </row>
    <row r="2446" spans="1:6" x14ac:dyDescent="0.25">
      <c r="A2446" t="str">
        <f>"69388351"</f>
        <v>69388351</v>
      </c>
      <c r="B2446" t="s">
        <v>2625</v>
      </c>
      <c r="C2446" t="s">
        <v>7</v>
      </c>
      <c r="D2446" t="str">
        <f t="shared" si="91"/>
        <v>556904</v>
      </c>
      <c r="E2446" t="s">
        <v>2186</v>
      </c>
      <c r="F2446" t="s">
        <v>254</v>
      </c>
    </row>
    <row r="2447" spans="1:6" x14ac:dyDescent="0.25">
      <c r="A2447" t="str">
        <f>"70961816"</f>
        <v>70961816</v>
      </c>
      <c r="B2447" t="s">
        <v>2626</v>
      </c>
      <c r="C2447" t="s">
        <v>2205</v>
      </c>
      <c r="D2447" t="str">
        <f t="shared" si="91"/>
        <v>556904</v>
      </c>
      <c r="E2447" t="s">
        <v>2186</v>
      </c>
      <c r="F2447" t="s">
        <v>1183</v>
      </c>
    </row>
    <row r="2448" spans="1:6" x14ac:dyDescent="0.25">
      <c r="A2448" t="str">
        <f>"26998131"</f>
        <v>26998131</v>
      </c>
      <c r="B2448" t="s">
        <v>2627</v>
      </c>
      <c r="C2448" t="s">
        <v>7</v>
      </c>
      <c r="D2448" t="str">
        <f t="shared" si="91"/>
        <v>556904</v>
      </c>
      <c r="E2448" t="s">
        <v>2186</v>
      </c>
      <c r="F2448" t="s">
        <v>11</v>
      </c>
    </row>
    <row r="2449" spans="1:6" x14ac:dyDescent="0.25">
      <c r="A2449" t="str">
        <f>"06718736"</f>
        <v>06718736</v>
      </c>
      <c r="B2449" t="s">
        <v>2628</v>
      </c>
      <c r="C2449" t="s">
        <v>7</v>
      </c>
      <c r="D2449" t="str">
        <f t="shared" si="91"/>
        <v>556904</v>
      </c>
      <c r="E2449" t="s">
        <v>2186</v>
      </c>
      <c r="F2449" t="s">
        <v>11</v>
      </c>
    </row>
    <row r="2450" spans="1:6" x14ac:dyDescent="0.25">
      <c r="A2450" t="str">
        <f>"25027611"</f>
        <v>25027611</v>
      </c>
      <c r="B2450" t="s">
        <v>2629</v>
      </c>
      <c r="C2450" t="s">
        <v>78</v>
      </c>
      <c r="D2450" t="str">
        <f t="shared" si="91"/>
        <v>556904</v>
      </c>
      <c r="E2450" t="s">
        <v>2186</v>
      </c>
      <c r="F2450" t="s">
        <v>2115</v>
      </c>
    </row>
    <row r="2451" spans="1:6" x14ac:dyDescent="0.25">
      <c r="A2451" t="str">
        <f>"22887806"</f>
        <v>22887806</v>
      </c>
      <c r="B2451" t="s">
        <v>2630</v>
      </c>
      <c r="C2451" t="s">
        <v>7</v>
      </c>
      <c r="D2451" t="str">
        <f t="shared" si="91"/>
        <v>556904</v>
      </c>
      <c r="E2451" t="s">
        <v>2186</v>
      </c>
      <c r="F2451" t="s">
        <v>65</v>
      </c>
    </row>
    <row r="2452" spans="1:6" x14ac:dyDescent="0.25">
      <c r="A2452" t="str">
        <f>"08346445"</f>
        <v>08346445</v>
      </c>
      <c r="B2452" t="s">
        <v>2631</v>
      </c>
      <c r="C2452" t="s">
        <v>7</v>
      </c>
      <c r="D2452" t="str">
        <f t="shared" si="91"/>
        <v>556904</v>
      </c>
      <c r="E2452" t="s">
        <v>2186</v>
      </c>
      <c r="F2452" t="s">
        <v>1096</v>
      </c>
    </row>
    <row r="2453" spans="1:6" x14ac:dyDescent="0.25">
      <c r="A2453" t="str">
        <f>"06129528"</f>
        <v>06129528</v>
      </c>
      <c r="B2453" t="s">
        <v>2632</v>
      </c>
      <c r="C2453" t="s">
        <v>7</v>
      </c>
      <c r="D2453" t="str">
        <f t="shared" si="91"/>
        <v>556904</v>
      </c>
      <c r="E2453" t="s">
        <v>2186</v>
      </c>
      <c r="F2453" t="s">
        <v>13</v>
      </c>
    </row>
    <row r="2454" spans="1:6" x14ac:dyDescent="0.25">
      <c r="A2454" t="str">
        <f>"27009165"</f>
        <v>27009165</v>
      </c>
      <c r="B2454" t="s">
        <v>2633</v>
      </c>
      <c r="C2454" t="s">
        <v>7</v>
      </c>
      <c r="D2454" t="str">
        <f t="shared" si="91"/>
        <v>556904</v>
      </c>
      <c r="E2454" t="s">
        <v>2186</v>
      </c>
      <c r="F2454" t="s">
        <v>9</v>
      </c>
    </row>
    <row r="2455" spans="1:6" x14ac:dyDescent="0.25">
      <c r="A2455" t="str">
        <f>"05755484"</f>
        <v>05755484</v>
      </c>
      <c r="B2455" t="s">
        <v>2634</v>
      </c>
      <c r="C2455" t="s">
        <v>27</v>
      </c>
      <c r="D2455" t="str">
        <f t="shared" si="91"/>
        <v>556904</v>
      </c>
      <c r="E2455" t="s">
        <v>2186</v>
      </c>
      <c r="F2455" t="s">
        <v>11</v>
      </c>
    </row>
    <row r="2456" spans="1:6" x14ac:dyDescent="0.25">
      <c r="A2456" t="str">
        <f>"02586894"</f>
        <v>02586894</v>
      </c>
      <c r="B2456" t="s">
        <v>2635</v>
      </c>
      <c r="C2456" t="s">
        <v>78</v>
      </c>
      <c r="D2456" t="str">
        <f t="shared" si="91"/>
        <v>556904</v>
      </c>
      <c r="E2456" t="s">
        <v>2186</v>
      </c>
      <c r="F2456" t="s">
        <v>13</v>
      </c>
    </row>
    <row r="2457" spans="1:6" x14ac:dyDescent="0.25">
      <c r="A2457" t="str">
        <f>"27280411"</f>
        <v>27280411</v>
      </c>
      <c r="B2457" t="s">
        <v>2636</v>
      </c>
      <c r="C2457" t="s">
        <v>78</v>
      </c>
      <c r="D2457" t="str">
        <f t="shared" si="91"/>
        <v>556904</v>
      </c>
      <c r="E2457" t="s">
        <v>2186</v>
      </c>
      <c r="F2457" t="s">
        <v>1646</v>
      </c>
    </row>
    <row r="2458" spans="1:6" x14ac:dyDescent="0.25">
      <c r="A2458" t="str">
        <f>"23062843"</f>
        <v>23062843</v>
      </c>
      <c r="B2458" t="s">
        <v>2637</v>
      </c>
      <c r="C2458" t="s">
        <v>7</v>
      </c>
      <c r="D2458" t="str">
        <f t="shared" si="91"/>
        <v>556904</v>
      </c>
      <c r="E2458" t="s">
        <v>2186</v>
      </c>
      <c r="F2458" t="s">
        <v>13</v>
      </c>
    </row>
    <row r="2459" spans="1:6" x14ac:dyDescent="0.25">
      <c r="A2459" t="str">
        <f>"08806951"</f>
        <v>08806951</v>
      </c>
      <c r="B2459" t="s">
        <v>2638</v>
      </c>
      <c r="C2459" t="s">
        <v>7</v>
      </c>
      <c r="D2459" t="str">
        <f t="shared" si="91"/>
        <v>556904</v>
      </c>
      <c r="E2459" t="s">
        <v>2186</v>
      </c>
      <c r="F2459" t="s">
        <v>11</v>
      </c>
    </row>
    <row r="2460" spans="1:6" x14ac:dyDescent="0.25">
      <c r="A2460" t="str">
        <f>"08808368"</f>
        <v>08808368</v>
      </c>
      <c r="B2460" t="s">
        <v>2639</v>
      </c>
      <c r="C2460" t="s">
        <v>7</v>
      </c>
      <c r="D2460" t="str">
        <f t="shared" si="91"/>
        <v>556904</v>
      </c>
      <c r="E2460" t="s">
        <v>2186</v>
      </c>
      <c r="F2460" t="s">
        <v>11</v>
      </c>
    </row>
    <row r="2461" spans="1:6" x14ac:dyDescent="0.25">
      <c r="A2461" t="str">
        <f>"08806896"</f>
        <v>08806896</v>
      </c>
      <c r="B2461" t="s">
        <v>2640</v>
      </c>
      <c r="C2461" t="s">
        <v>7</v>
      </c>
      <c r="D2461" t="str">
        <f t="shared" si="91"/>
        <v>556904</v>
      </c>
      <c r="E2461" t="s">
        <v>2186</v>
      </c>
      <c r="F2461" t="s">
        <v>11</v>
      </c>
    </row>
    <row r="2462" spans="1:6" x14ac:dyDescent="0.25">
      <c r="A2462" t="str">
        <f>"70848262"</f>
        <v>70848262</v>
      </c>
      <c r="B2462" t="s">
        <v>2641</v>
      </c>
      <c r="C2462" t="s">
        <v>15</v>
      </c>
      <c r="D2462" t="str">
        <f t="shared" si="91"/>
        <v>556904</v>
      </c>
      <c r="E2462" t="s">
        <v>2186</v>
      </c>
      <c r="F2462" t="s">
        <v>11</v>
      </c>
    </row>
    <row r="2463" spans="1:6" x14ac:dyDescent="0.25">
      <c r="A2463" t="str">
        <f>"26654407"</f>
        <v>26654407</v>
      </c>
      <c r="B2463" t="s">
        <v>2642</v>
      </c>
      <c r="C2463" t="s">
        <v>7</v>
      </c>
      <c r="D2463" t="str">
        <f t="shared" si="91"/>
        <v>556904</v>
      </c>
      <c r="E2463" t="s">
        <v>2186</v>
      </c>
      <c r="F2463" t="s">
        <v>11</v>
      </c>
    </row>
    <row r="2464" spans="1:6" x14ac:dyDescent="0.25">
      <c r="A2464" t="str">
        <f>"26616289"</f>
        <v>26616289</v>
      </c>
      <c r="B2464" t="s">
        <v>2643</v>
      </c>
      <c r="C2464" t="s">
        <v>7</v>
      </c>
      <c r="D2464" t="str">
        <f t="shared" si="91"/>
        <v>556904</v>
      </c>
      <c r="E2464" t="s">
        <v>2186</v>
      </c>
      <c r="F2464" t="s">
        <v>11</v>
      </c>
    </row>
    <row r="2465" spans="1:6" x14ac:dyDescent="0.25">
      <c r="A2465" t="str">
        <f>"25444565"</f>
        <v>25444565</v>
      </c>
      <c r="B2465" t="s">
        <v>2644</v>
      </c>
      <c r="C2465" t="s">
        <v>78</v>
      </c>
      <c r="D2465" t="str">
        <f t="shared" si="91"/>
        <v>556904</v>
      </c>
      <c r="E2465" t="s">
        <v>2186</v>
      </c>
      <c r="F2465" t="s">
        <v>865</v>
      </c>
    </row>
    <row r="2466" spans="1:6" x14ac:dyDescent="0.25">
      <c r="A2466" t="str">
        <f>"22901761"</f>
        <v>22901761</v>
      </c>
      <c r="B2466" t="s">
        <v>2645</v>
      </c>
      <c r="C2466" t="s">
        <v>7</v>
      </c>
      <c r="D2466" t="str">
        <f t="shared" si="91"/>
        <v>556904</v>
      </c>
      <c r="E2466" t="s">
        <v>2186</v>
      </c>
      <c r="F2466" t="s">
        <v>35</v>
      </c>
    </row>
    <row r="2467" spans="1:6" x14ac:dyDescent="0.25">
      <c r="A2467" t="str">
        <f>"68954883"</f>
        <v>68954883</v>
      </c>
      <c r="B2467" t="s">
        <v>2646</v>
      </c>
      <c r="C2467" t="s">
        <v>7</v>
      </c>
      <c r="D2467" t="str">
        <f t="shared" si="91"/>
        <v>556904</v>
      </c>
      <c r="E2467" t="s">
        <v>2186</v>
      </c>
      <c r="F2467" t="s">
        <v>254</v>
      </c>
    </row>
    <row r="2468" spans="1:6" x14ac:dyDescent="0.25">
      <c r="A2468" t="str">
        <f>"69387648"</f>
        <v>69387648</v>
      </c>
      <c r="B2468" t="s">
        <v>2647</v>
      </c>
      <c r="C2468" t="s">
        <v>7</v>
      </c>
      <c r="D2468" t="str">
        <f t="shared" si="91"/>
        <v>556904</v>
      </c>
      <c r="E2468" t="s">
        <v>2186</v>
      </c>
      <c r="F2468" t="s">
        <v>254</v>
      </c>
    </row>
    <row r="2469" spans="1:6" x14ac:dyDescent="0.25">
      <c r="A2469" t="str">
        <f>"69387788"</f>
        <v>69387788</v>
      </c>
      <c r="B2469" t="s">
        <v>2648</v>
      </c>
      <c r="C2469" t="s">
        <v>7</v>
      </c>
      <c r="D2469" t="str">
        <f t="shared" si="91"/>
        <v>556904</v>
      </c>
      <c r="E2469" t="s">
        <v>2186</v>
      </c>
      <c r="F2469" t="s">
        <v>254</v>
      </c>
    </row>
    <row r="2470" spans="1:6" x14ac:dyDescent="0.25">
      <c r="A2470" t="str">
        <f>"70818525"</f>
        <v>70818525</v>
      </c>
      <c r="B2470" t="s">
        <v>2649</v>
      </c>
      <c r="C2470" t="s">
        <v>7</v>
      </c>
      <c r="D2470" t="str">
        <f t="shared" si="91"/>
        <v>556904</v>
      </c>
      <c r="E2470" t="s">
        <v>2186</v>
      </c>
      <c r="F2470" t="s">
        <v>65</v>
      </c>
    </row>
    <row r="2471" spans="1:6" x14ac:dyDescent="0.25">
      <c r="A2471" t="str">
        <f>"23122081"</f>
        <v>23122081</v>
      </c>
      <c r="B2471" t="s">
        <v>2650</v>
      </c>
      <c r="C2471" t="s">
        <v>27</v>
      </c>
      <c r="D2471" t="str">
        <f t="shared" si="91"/>
        <v>556904</v>
      </c>
      <c r="E2471" t="s">
        <v>2186</v>
      </c>
      <c r="F2471" t="s">
        <v>2331</v>
      </c>
    </row>
    <row r="2472" spans="1:6" x14ac:dyDescent="0.25">
      <c r="A2472" t="str">
        <f>"26992329"</f>
        <v>26992329</v>
      </c>
      <c r="B2472" t="s">
        <v>2651</v>
      </c>
      <c r="C2472" t="s">
        <v>7</v>
      </c>
      <c r="D2472" t="str">
        <f t="shared" ref="D2472:D2535" si="92">"556904"</f>
        <v>556904</v>
      </c>
      <c r="E2472" t="s">
        <v>2186</v>
      </c>
      <c r="F2472" t="s">
        <v>9</v>
      </c>
    </row>
    <row r="2473" spans="1:6" x14ac:dyDescent="0.25">
      <c r="A2473" t="str">
        <f>"47475111"</f>
        <v>47475111</v>
      </c>
      <c r="B2473" t="s">
        <v>2652</v>
      </c>
      <c r="C2473" t="s">
        <v>2653</v>
      </c>
      <c r="D2473" t="str">
        <f t="shared" si="92"/>
        <v>556904</v>
      </c>
      <c r="E2473" t="s">
        <v>2186</v>
      </c>
      <c r="F2473" t="s">
        <v>44</v>
      </c>
    </row>
    <row r="2474" spans="1:6" x14ac:dyDescent="0.25">
      <c r="A2474" t="str">
        <f>"46744860"</f>
        <v>46744860</v>
      </c>
      <c r="B2474" t="s">
        <v>2654</v>
      </c>
      <c r="C2474" t="s">
        <v>43</v>
      </c>
      <c r="D2474" t="str">
        <f t="shared" si="92"/>
        <v>556904</v>
      </c>
      <c r="E2474" t="s">
        <v>2186</v>
      </c>
      <c r="F2474" t="s">
        <v>44</v>
      </c>
    </row>
    <row r="2475" spans="1:6" x14ac:dyDescent="0.25">
      <c r="A2475" t="str">
        <f>"73634361"</f>
        <v>73634361</v>
      </c>
      <c r="B2475" t="s">
        <v>2655</v>
      </c>
      <c r="C2475" t="s">
        <v>43</v>
      </c>
      <c r="D2475" t="str">
        <f t="shared" si="92"/>
        <v>556904</v>
      </c>
      <c r="E2475" t="s">
        <v>2186</v>
      </c>
      <c r="F2475" t="s">
        <v>44</v>
      </c>
    </row>
    <row r="2476" spans="1:6" x14ac:dyDescent="0.25">
      <c r="A2476" t="str">
        <f>"04815807"</f>
        <v>04815807</v>
      </c>
      <c r="B2476" t="s">
        <v>2656</v>
      </c>
      <c r="C2476" t="s">
        <v>15</v>
      </c>
      <c r="D2476" t="str">
        <f t="shared" si="92"/>
        <v>556904</v>
      </c>
      <c r="E2476" t="s">
        <v>2186</v>
      </c>
      <c r="F2476" t="s">
        <v>11</v>
      </c>
    </row>
    <row r="2477" spans="1:6" x14ac:dyDescent="0.25">
      <c r="A2477" t="str">
        <f>"01305352"</f>
        <v>01305352</v>
      </c>
      <c r="B2477" t="s">
        <v>2657</v>
      </c>
      <c r="C2477" t="s">
        <v>7</v>
      </c>
      <c r="D2477" t="str">
        <f t="shared" si="92"/>
        <v>556904</v>
      </c>
      <c r="E2477" t="s">
        <v>2186</v>
      </c>
      <c r="F2477" t="s">
        <v>11</v>
      </c>
    </row>
    <row r="2478" spans="1:6" x14ac:dyDescent="0.25">
      <c r="A2478" t="str">
        <f>"27017621"</f>
        <v>27017621</v>
      </c>
      <c r="B2478" t="s">
        <v>2658</v>
      </c>
      <c r="C2478" t="s">
        <v>7</v>
      </c>
      <c r="D2478" t="str">
        <f t="shared" si="92"/>
        <v>556904</v>
      </c>
      <c r="E2478" t="s">
        <v>2186</v>
      </c>
      <c r="F2478" t="s">
        <v>11</v>
      </c>
    </row>
    <row r="2479" spans="1:6" x14ac:dyDescent="0.25">
      <c r="A2479" t="str">
        <f>"21906378"</f>
        <v>21906378</v>
      </c>
      <c r="B2479" t="s">
        <v>2659</v>
      </c>
      <c r="C2479" t="s">
        <v>124</v>
      </c>
      <c r="D2479" t="str">
        <f t="shared" si="92"/>
        <v>556904</v>
      </c>
      <c r="E2479" t="s">
        <v>2186</v>
      </c>
      <c r="F2479" t="s">
        <v>62</v>
      </c>
    </row>
    <row r="2480" spans="1:6" x14ac:dyDescent="0.25">
      <c r="A2480" t="str">
        <f>"69292035"</f>
        <v>69292035</v>
      </c>
      <c r="B2480" t="s">
        <v>2660</v>
      </c>
      <c r="C2480" t="s">
        <v>7</v>
      </c>
      <c r="D2480" t="str">
        <f t="shared" si="92"/>
        <v>556904</v>
      </c>
      <c r="E2480" t="s">
        <v>2186</v>
      </c>
      <c r="F2480" t="s">
        <v>254</v>
      </c>
    </row>
    <row r="2481" spans="1:6" x14ac:dyDescent="0.25">
      <c r="A2481" t="str">
        <f>"07882696"</f>
        <v>07882696</v>
      </c>
      <c r="B2481" t="s">
        <v>2661</v>
      </c>
      <c r="C2481" t="s">
        <v>7</v>
      </c>
      <c r="D2481" t="str">
        <f t="shared" si="92"/>
        <v>556904</v>
      </c>
      <c r="E2481" t="s">
        <v>2186</v>
      </c>
      <c r="F2481" t="s">
        <v>381</v>
      </c>
    </row>
    <row r="2482" spans="1:6" x14ac:dyDescent="0.25">
      <c r="A2482" t="str">
        <f>"04967470"</f>
        <v>04967470</v>
      </c>
      <c r="B2482" t="s">
        <v>2662</v>
      </c>
      <c r="C2482" t="s">
        <v>7</v>
      </c>
      <c r="D2482" t="str">
        <f t="shared" si="92"/>
        <v>556904</v>
      </c>
      <c r="E2482" t="s">
        <v>2186</v>
      </c>
      <c r="F2482" t="s">
        <v>11</v>
      </c>
    </row>
    <row r="2483" spans="1:6" x14ac:dyDescent="0.25">
      <c r="A2483" t="str">
        <f>"26581523"</f>
        <v>26581523</v>
      </c>
      <c r="B2483" t="s">
        <v>2663</v>
      </c>
      <c r="C2483" t="s">
        <v>7</v>
      </c>
      <c r="D2483" t="str">
        <f t="shared" si="92"/>
        <v>556904</v>
      </c>
      <c r="E2483" t="s">
        <v>2186</v>
      </c>
      <c r="F2483" t="s">
        <v>35</v>
      </c>
    </row>
    <row r="2484" spans="1:6" x14ac:dyDescent="0.25">
      <c r="A2484" t="str">
        <f>"03815641"</f>
        <v>03815641</v>
      </c>
      <c r="B2484" t="s">
        <v>2664</v>
      </c>
      <c r="C2484" t="s">
        <v>7</v>
      </c>
      <c r="D2484" t="str">
        <f t="shared" si="92"/>
        <v>556904</v>
      </c>
      <c r="E2484" t="s">
        <v>2186</v>
      </c>
      <c r="F2484" t="s">
        <v>35</v>
      </c>
    </row>
    <row r="2485" spans="1:6" x14ac:dyDescent="0.25">
      <c r="A2485" t="str">
        <f>"46744533"</f>
        <v>46744533</v>
      </c>
      <c r="B2485" t="s">
        <v>2665</v>
      </c>
      <c r="C2485" t="s">
        <v>7</v>
      </c>
      <c r="D2485" t="str">
        <f t="shared" si="92"/>
        <v>556904</v>
      </c>
      <c r="E2485" t="s">
        <v>2186</v>
      </c>
      <c r="F2485" t="s">
        <v>9</v>
      </c>
    </row>
    <row r="2486" spans="1:6" x14ac:dyDescent="0.25">
      <c r="A2486" t="str">
        <f>"70803781"</f>
        <v>70803781</v>
      </c>
      <c r="B2486" t="s">
        <v>2666</v>
      </c>
      <c r="C2486" t="s">
        <v>7</v>
      </c>
      <c r="D2486" t="str">
        <f t="shared" si="92"/>
        <v>556904</v>
      </c>
      <c r="E2486" t="s">
        <v>2186</v>
      </c>
      <c r="F2486" t="s">
        <v>35</v>
      </c>
    </row>
    <row r="2487" spans="1:6" x14ac:dyDescent="0.25">
      <c r="A2487" t="str">
        <f>"26526441"</f>
        <v>26526441</v>
      </c>
      <c r="B2487" t="s">
        <v>2667</v>
      </c>
      <c r="C2487" t="s">
        <v>7</v>
      </c>
      <c r="D2487" t="str">
        <f t="shared" si="92"/>
        <v>556904</v>
      </c>
      <c r="E2487" t="s">
        <v>2186</v>
      </c>
      <c r="F2487" t="s">
        <v>11</v>
      </c>
    </row>
    <row r="2488" spans="1:6" x14ac:dyDescent="0.25">
      <c r="A2488" t="str">
        <f>"68983603"</f>
        <v>68983603</v>
      </c>
      <c r="B2488" t="s">
        <v>2668</v>
      </c>
      <c r="C2488" t="s">
        <v>7</v>
      </c>
      <c r="D2488" t="str">
        <f t="shared" si="92"/>
        <v>556904</v>
      </c>
      <c r="E2488" t="s">
        <v>2186</v>
      </c>
      <c r="F2488" t="s">
        <v>254</v>
      </c>
    </row>
    <row r="2489" spans="1:6" x14ac:dyDescent="0.25">
      <c r="A2489" t="str">
        <f>"05886775"</f>
        <v>05886775</v>
      </c>
      <c r="B2489" t="s">
        <v>2669</v>
      </c>
      <c r="C2489" t="s">
        <v>7</v>
      </c>
      <c r="D2489" t="str">
        <f t="shared" si="92"/>
        <v>556904</v>
      </c>
      <c r="E2489" t="s">
        <v>2186</v>
      </c>
      <c r="F2489" t="s">
        <v>11</v>
      </c>
    </row>
    <row r="2490" spans="1:6" x14ac:dyDescent="0.25">
      <c r="A2490" t="str">
        <f>"01522507"</f>
        <v>01522507</v>
      </c>
      <c r="B2490" t="s">
        <v>2670</v>
      </c>
      <c r="C2490" t="s">
        <v>7</v>
      </c>
      <c r="D2490" t="str">
        <f t="shared" si="92"/>
        <v>556904</v>
      </c>
      <c r="E2490" t="s">
        <v>2186</v>
      </c>
      <c r="F2490" t="s">
        <v>11</v>
      </c>
    </row>
    <row r="2491" spans="1:6" x14ac:dyDescent="0.25">
      <c r="A2491" t="str">
        <f>"65100352"</f>
        <v>65100352</v>
      </c>
      <c r="B2491" t="s">
        <v>2671</v>
      </c>
      <c r="C2491" t="s">
        <v>7</v>
      </c>
      <c r="D2491" t="str">
        <f t="shared" si="92"/>
        <v>556904</v>
      </c>
      <c r="E2491" t="s">
        <v>2186</v>
      </c>
      <c r="F2491" t="s">
        <v>11</v>
      </c>
    </row>
    <row r="2492" spans="1:6" x14ac:dyDescent="0.25">
      <c r="A2492" t="str">
        <f>"22766006"</f>
        <v>22766006</v>
      </c>
      <c r="B2492" t="s">
        <v>2672</v>
      </c>
      <c r="C2492" t="s">
        <v>7</v>
      </c>
      <c r="D2492" t="str">
        <f t="shared" si="92"/>
        <v>556904</v>
      </c>
      <c r="E2492" t="s">
        <v>2186</v>
      </c>
      <c r="F2492" t="s">
        <v>328</v>
      </c>
    </row>
    <row r="2493" spans="1:6" x14ac:dyDescent="0.25">
      <c r="A2493" t="str">
        <f>"75045885"</f>
        <v>75045885</v>
      </c>
      <c r="B2493" t="s">
        <v>2673</v>
      </c>
      <c r="C2493" t="s">
        <v>7</v>
      </c>
      <c r="D2493" t="str">
        <f t="shared" si="92"/>
        <v>556904</v>
      </c>
      <c r="E2493" t="s">
        <v>2186</v>
      </c>
      <c r="F2493" t="s">
        <v>35</v>
      </c>
    </row>
    <row r="2494" spans="1:6" x14ac:dyDescent="0.25">
      <c r="A2494" t="str">
        <f>"26670046"</f>
        <v>26670046</v>
      </c>
      <c r="B2494" t="s">
        <v>2674</v>
      </c>
      <c r="C2494" t="s">
        <v>7</v>
      </c>
      <c r="D2494" t="str">
        <f t="shared" si="92"/>
        <v>556904</v>
      </c>
      <c r="E2494" t="s">
        <v>2186</v>
      </c>
      <c r="F2494" t="s">
        <v>62</v>
      </c>
    </row>
    <row r="2495" spans="1:6" x14ac:dyDescent="0.25">
      <c r="A2495" t="str">
        <f>"26607611"</f>
        <v>26607611</v>
      </c>
      <c r="B2495" t="s">
        <v>2675</v>
      </c>
      <c r="C2495" t="s">
        <v>7</v>
      </c>
      <c r="D2495" t="str">
        <f t="shared" si="92"/>
        <v>556904</v>
      </c>
      <c r="E2495" t="s">
        <v>2186</v>
      </c>
      <c r="F2495" t="s">
        <v>11</v>
      </c>
    </row>
    <row r="2496" spans="1:6" x14ac:dyDescent="0.25">
      <c r="A2496" t="str">
        <f>"46748237"</f>
        <v>46748237</v>
      </c>
      <c r="B2496" t="s">
        <v>2676</v>
      </c>
      <c r="C2496" t="s">
        <v>7</v>
      </c>
      <c r="D2496" t="str">
        <f t="shared" si="92"/>
        <v>556904</v>
      </c>
      <c r="E2496" t="s">
        <v>2186</v>
      </c>
      <c r="F2496" t="s">
        <v>9</v>
      </c>
    </row>
    <row r="2497" spans="1:6" x14ac:dyDescent="0.25">
      <c r="A2497" t="str">
        <f>"70900973"</f>
        <v>70900973</v>
      </c>
      <c r="B2497" t="s">
        <v>2677</v>
      </c>
      <c r="C2497" t="s">
        <v>15</v>
      </c>
      <c r="D2497" t="str">
        <f t="shared" si="92"/>
        <v>556904</v>
      </c>
      <c r="E2497" t="s">
        <v>2186</v>
      </c>
      <c r="F2497" t="s">
        <v>11</v>
      </c>
    </row>
    <row r="2498" spans="1:6" x14ac:dyDescent="0.25">
      <c r="A2498" t="str">
        <f>"46748725"</f>
        <v>46748725</v>
      </c>
      <c r="B2498" t="s">
        <v>2678</v>
      </c>
      <c r="C2498" t="s">
        <v>15</v>
      </c>
      <c r="D2498" t="str">
        <f t="shared" si="92"/>
        <v>556904</v>
      </c>
      <c r="E2498" t="s">
        <v>2186</v>
      </c>
      <c r="F2498" t="s">
        <v>139</v>
      </c>
    </row>
    <row r="2499" spans="1:6" x14ac:dyDescent="0.25">
      <c r="A2499" t="str">
        <f>"64039421"</f>
        <v>64039421</v>
      </c>
      <c r="B2499" t="s">
        <v>2679</v>
      </c>
      <c r="C2499" t="s">
        <v>15</v>
      </c>
      <c r="D2499" t="str">
        <f t="shared" si="92"/>
        <v>556904</v>
      </c>
      <c r="E2499" t="s">
        <v>2186</v>
      </c>
      <c r="F2499" t="s">
        <v>139</v>
      </c>
    </row>
    <row r="2500" spans="1:6" x14ac:dyDescent="0.25">
      <c r="A2500" t="str">
        <f>"46748865"</f>
        <v>46748865</v>
      </c>
      <c r="B2500" t="s">
        <v>2680</v>
      </c>
      <c r="C2500" t="s">
        <v>15</v>
      </c>
      <c r="D2500" t="str">
        <f t="shared" si="92"/>
        <v>556904</v>
      </c>
      <c r="E2500" t="s">
        <v>2186</v>
      </c>
      <c r="F2500" t="s">
        <v>139</v>
      </c>
    </row>
    <row r="2501" spans="1:6" x14ac:dyDescent="0.25">
      <c r="A2501" t="str">
        <f>"46749896"</f>
        <v>46749896</v>
      </c>
      <c r="B2501" t="s">
        <v>2681</v>
      </c>
      <c r="C2501" t="s">
        <v>15</v>
      </c>
      <c r="D2501" t="str">
        <f t="shared" si="92"/>
        <v>556904</v>
      </c>
      <c r="E2501" t="s">
        <v>2186</v>
      </c>
      <c r="F2501" t="s">
        <v>139</v>
      </c>
    </row>
    <row r="2502" spans="1:6" x14ac:dyDescent="0.25">
      <c r="A2502" t="str">
        <f>"46749861"</f>
        <v>46749861</v>
      </c>
      <c r="B2502" t="s">
        <v>2682</v>
      </c>
      <c r="C2502" t="s">
        <v>15</v>
      </c>
      <c r="D2502" t="str">
        <f t="shared" si="92"/>
        <v>556904</v>
      </c>
      <c r="E2502" t="s">
        <v>2186</v>
      </c>
      <c r="F2502" t="s">
        <v>139</v>
      </c>
    </row>
    <row r="2503" spans="1:6" x14ac:dyDescent="0.25">
      <c r="A2503" t="str">
        <f>"01461311"</f>
        <v>01461311</v>
      </c>
      <c r="B2503" t="s">
        <v>2683</v>
      </c>
      <c r="C2503" t="s">
        <v>7</v>
      </c>
      <c r="D2503" t="str">
        <f t="shared" si="92"/>
        <v>556904</v>
      </c>
      <c r="E2503" t="s">
        <v>2186</v>
      </c>
      <c r="F2503" t="s">
        <v>18</v>
      </c>
    </row>
    <row r="2504" spans="1:6" x14ac:dyDescent="0.25">
      <c r="A2504" t="str">
        <f>"27049663"</f>
        <v>27049663</v>
      </c>
      <c r="B2504" t="s">
        <v>2684</v>
      </c>
      <c r="C2504" t="s">
        <v>7</v>
      </c>
      <c r="D2504" t="str">
        <f t="shared" si="92"/>
        <v>556904</v>
      </c>
      <c r="E2504" t="s">
        <v>2186</v>
      </c>
      <c r="F2504" t="s">
        <v>11</v>
      </c>
    </row>
    <row r="2505" spans="1:6" x14ac:dyDescent="0.25">
      <c r="A2505" t="str">
        <f>"64040704"</f>
        <v>64040704</v>
      </c>
      <c r="B2505" t="s">
        <v>2685</v>
      </c>
      <c r="C2505" t="s">
        <v>7</v>
      </c>
      <c r="D2505" t="str">
        <f t="shared" si="92"/>
        <v>556904</v>
      </c>
      <c r="E2505" t="s">
        <v>2186</v>
      </c>
      <c r="F2505" t="s">
        <v>9</v>
      </c>
    </row>
    <row r="2506" spans="1:6" x14ac:dyDescent="0.25">
      <c r="A2506" t="str">
        <f>"71177884"</f>
        <v>71177884</v>
      </c>
      <c r="B2506" t="s">
        <v>2686</v>
      </c>
      <c r="C2506" t="s">
        <v>15</v>
      </c>
      <c r="D2506" t="str">
        <f t="shared" si="92"/>
        <v>556904</v>
      </c>
      <c r="E2506" t="s">
        <v>2186</v>
      </c>
      <c r="F2506" t="s">
        <v>11</v>
      </c>
    </row>
    <row r="2507" spans="1:6" x14ac:dyDescent="0.25">
      <c r="A2507" t="str">
        <f>"22817492"</f>
        <v>22817492</v>
      </c>
      <c r="B2507" t="s">
        <v>2687</v>
      </c>
      <c r="C2507" t="s">
        <v>7</v>
      </c>
      <c r="D2507" t="str">
        <f t="shared" si="92"/>
        <v>556904</v>
      </c>
      <c r="E2507" t="s">
        <v>2186</v>
      </c>
      <c r="F2507" t="s">
        <v>11</v>
      </c>
    </row>
    <row r="2508" spans="1:6" x14ac:dyDescent="0.25">
      <c r="A2508" t="str">
        <f>"46747044"</f>
        <v>46747044</v>
      </c>
      <c r="B2508" t="s">
        <v>2688</v>
      </c>
      <c r="C2508" t="s">
        <v>7</v>
      </c>
      <c r="D2508" t="str">
        <f t="shared" si="92"/>
        <v>556904</v>
      </c>
      <c r="E2508" t="s">
        <v>2186</v>
      </c>
      <c r="F2508" t="s">
        <v>9</v>
      </c>
    </row>
    <row r="2509" spans="1:6" x14ac:dyDescent="0.25">
      <c r="A2509" t="str">
        <f>"27006077"</f>
        <v>27006077</v>
      </c>
      <c r="B2509" t="s">
        <v>2689</v>
      </c>
      <c r="C2509" t="s">
        <v>7</v>
      </c>
      <c r="D2509" t="str">
        <f t="shared" si="92"/>
        <v>556904</v>
      </c>
      <c r="E2509" t="s">
        <v>2186</v>
      </c>
      <c r="F2509" t="s">
        <v>35</v>
      </c>
    </row>
    <row r="2510" spans="1:6" x14ac:dyDescent="0.25">
      <c r="A2510" t="str">
        <f>"21331332"</f>
        <v>21331332</v>
      </c>
      <c r="B2510" t="s">
        <v>2690</v>
      </c>
      <c r="C2510" t="s">
        <v>7</v>
      </c>
      <c r="D2510" t="str">
        <f t="shared" si="92"/>
        <v>556904</v>
      </c>
      <c r="E2510" t="s">
        <v>2186</v>
      </c>
      <c r="F2510" t="s">
        <v>62</v>
      </c>
    </row>
    <row r="2511" spans="1:6" x14ac:dyDescent="0.25">
      <c r="A2511" t="str">
        <f>"21132135"</f>
        <v>21132135</v>
      </c>
      <c r="B2511" t="s">
        <v>2691</v>
      </c>
      <c r="C2511" t="s">
        <v>15</v>
      </c>
      <c r="D2511" t="str">
        <f t="shared" si="92"/>
        <v>556904</v>
      </c>
      <c r="E2511" t="s">
        <v>2186</v>
      </c>
      <c r="F2511" t="s">
        <v>62</v>
      </c>
    </row>
    <row r="2512" spans="1:6" x14ac:dyDescent="0.25">
      <c r="A2512" t="str">
        <f>"09137564"</f>
        <v>09137564</v>
      </c>
      <c r="B2512" t="s">
        <v>2692</v>
      </c>
      <c r="C2512" t="s">
        <v>7</v>
      </c>
      <c r="D2512" t="str">
        <f t="shared" si="92"/>
        <v>556904</v>
      </c>
      <c r="E2512" t="s">
        <v>2186</v>
      </c>
      <c r="F2512" t="s">
        <v>13</v>
      </c>
    </row>
    <row r="2513" spans="1:6" x14ac:dyDescent="0.25">
      <c r="A2513" t="str">
        <f>"22609768"</f>
        <v>22609768</v>
      </c>
      <c r="B2513" t="s">
        <v>2693</v>
      </c>
      <c r="C2513" t="s">
        <v>7</v>
      </c>
      <c r="D2513" t="str">
        <f t="shared" si="92"/>
        <v>556904</v>
      </c>
      <c r="E2513" t="s">
        <v>2186</v>
      </c>
      <c r="F2513" t="s">
        <v>11</v>
      </c>
    </row>
    <row r="2514" spans="1:6" x14ac:dyDescent="0.25">
      <c r="A2514" t="str">
        <f>"27059545"</f>
        <v>27059545</v>
      </c>
      <c r="B2514" t="s">
        <v>2694</v>
      </c>
      <c r="C2514" t="s">
        <v>7</v>
      </c>
      <c r="D2514" t="str">
        <f t="shared" si="92"/>
        <v>556904</v>
      </c>
      <c r="E2514" t="s">
        <v>2186</v>
      </c>
      <c r="F2514" t="s">
        <v>9</v>
      </c>
    </row>
    <row r="2515" spans="1:6" x14ac:dyDescent="0.25">
      <c r="A2515" t="str">
        <f>"70894370"</f>
        <v>70894370</v>
      </c>
      <c r="B2515" t="s">
        <v>2695</v>
      </c>
      <c r="C2515" t="s">
        <v>7</v>
      </c>
      <c r="D2515" t="str">
        <f t="shared" si="92"/>
        <v>556904</v>
      </c>
      <c r="E2515" t="s">
        <v>2186</v>
      </c>
      <c r="F2515" t="s">
        <v>11</v>
      </c>
    </row>
    <row r="2516" spans="1:6" x14ac:dyDescent="0.25">
      <c r="A2516" t="str">
        <f>"46748881"</f>
        <v>46748881</v>
      </c>
      <c r="B2516" t="s">
        <v>2696</v>
      </c>
      <c r="C2516" t="s">
        <v>7</v>
      </c>
      <c r="D2516" t="str">
        <f t="shared" si="92"/>
        <v>556904</v>
      </c>
      <c r="E2516" t="s">
        <v>2186</v>
      </c>
      <c r="F2516" t="s">
        <v>11</v>
      </c>
    </row>
    <row r="2517" spans="1:6" x14ac:dyDescent="0.25">
      <c r="A2517" t="str">
        <f>"64040267"</f>
        <v>64040267</v>
      </c>
      <c r="B2517" t="s">
        <v>2697</v>
      </c>
      <c r="C2517" t="s">
        <v>15</v>
      </c>
      <c r="D2517" t="str">
        <f t="shared" si="92"/>
        <v>556904</v>
      </c>
      <c r="E2517" t="s">
        <v>2186</v>
      </c>
      <c r="F2517" t="s">
        <v>65</v>
      </c>
    </row>
    <row r="2518" spans="1:6" x14ac:dyDescent="0.25">
      <c r="A2518" t="str">
        <f>"22711511"</f>
        <v>22711511</v>
      </c>
      <c r="B2518" t="s">
        <v>2698</v>
      </c>
      <c r="C2518" t="s">
        <v>7</v>
      </c>
      <c r="D2518" t="str">
        <f t="shared" si="92"/>
        <v>556904</v>
      </c>
      <c r="E2518" t="s">
        <v>2186</v>
      </c>
      <c r="F2518" t="s">
        <v>29</v>
      </c>
    </row>
    <row r="2519" spans="1:6" x14ac:dyDescent="0.25">
      <c r="A2519" t="str">
        <f>"65635558"</f>
        <v>65635558</v>
      </c>
      <c r="B2519" t="s">
        <v>2699</v>
      </c>
      <c r="C2519" t="s">
        <v>7</v>
      </c>
      <c r="D2519" t="str">
        <f t="shared" si="92"/>
        <v>556904</v>
      </c>
      <c r="E2519" t="s">
        <v>2186</v>
      </c>
      <c r="F2519" t="s">
        <v>9</v>
      </c>
    </row>
    <row r="2520" spans="1:6" x14ac:dyDescent="0.25">
      <c r="A2520" t="str">
        <f>"03692183"</f>
        <v>03692183</v>
      </c>
      <c r="B2520" t="s">
        <v>2700</v>
      </c>
      <c r="C2520" t="s">
        <v>7</v>
      </c>
      <c r="D2520" t="str">
        <f t="shared" si="92"/>
        <v>556904</v>
      </c>
      <c r="E2520" t="s">
        <v>2186</v>
      </c>
      <c r="F2520" t="s">
        <v>139</v>
      </c>
    </row>
    <row r="2521" spans="1:6" x14ac:dyDescent="0.25">
      <c r="A2521" t="str">
        <f>"46746340"</f>
        <v>46746340</v>
      </c>
      <c r="B2521" t="s">
        <v>2701</v>
      </c>
      <c r="C2521" t="s">
        <v>7</v>
      </c>
      <c r="D2521" t="str">
        <f t="shared" si="92"/>
        <v>556904</v>
      </c>
      <c r="E2521" t="s">
        <v>2186</v>
      </c>
      <c r="F2521" t="s">
        <v>9</v>
      </c>
    </row>
    <row r="2522" spans="1:6" x14ac:dyDescent="0.25">
      <c r="A2522" t="str">
        <f>"22848231"</f>
        <v>22848231</v>
      </c>
      <c r="B2522" t="s">
        <v>2702</v>
      </c>
      <c r="C2522" t="s">
        <v>7</v>
      </c>
      <c r="D2522" t="str">
        <f t="shared" si="92"/>
        <v>556904</v>
      </c>
      <c r="E2522" t="s">
        <v>2186</v>
      </c>
      <c r="F2522" t="s">
        <v>11</v>
      </c>
    </row>
    <row r="2523" spans="1:6" x14ac:dyDescent="0.25">
      <c r="A2523" t="str">
        <f>"46748041"</f>
        <v>46748041</v>
      </c>
      <c r="B2523" t="s">
        <v>2703</v>
      </c>
      <c r="C2523" t="s">
        <v>7</v>
      </c>
      <c r="D2523" t="str">
        <f t="shared" si="92"/>
        <v>556904</v>
      </c>
      <c r="E2523" t="s">
        <v>2186</v>
      </c>
      <c r="F2523" t="s">
        <v>379</v>
      </c>
    </row>
    <row r="2524" spans="1:6" x14ac:dyDescent="0.25">
      <c r="A2524" t="str">
        <f>"14865262"</f>
        <v>14865262</v>
      </c>
      <c r="B2524" t="s">
        <v>2704</v>
      </c>
      <c r="C2524" t="s">
        <v>7</v>
      </c>
      <c r="D2524" t="str">
        <f t="shared" si="92"/>
        <v>556904</v>
      </c>
      <c r="E2524" t="s">
        <v>2186</v>
      </c>
      <c r="F2524" t="s">
        <v>11</v>
      </c>
    </row>
    <row r="2525" spans="1:6" x14ac:dyDescent="0.25">
      <c r="A2525" t="str">
        <f>"69291519"</f>
        <v>69291519</v>
      </c>
      <c r="B2525" t="s">
        <v>2705</v>
      </c>
      <c r="C2525" t="s">
        <v>7</v>
      </c>
      <c r="D2525" t="str">
        <f t="shared" si="92"/>
        <v>556904</v>
      </c>
      <c r="E2525" t="s">
        <v>2186</v>
      </c>
      <c r="F2525" t="s">
        <v>11</v>
      </c>
    </row>
    <row r="2526" spans="1:6" x14ac:dyDescent="0.25">
      <c r="A2526" t="str">
        <f>"46747893"</f>
        <v>46747893</v>
      </c>
      <c r="B2526" t="s">
        <v>2706</v>
      </c>
      <c r="C2526" t="s">
        <v>7</v>
      </c>
      <c r="D2526" t="str">
        <f t="shared" si="92"/>
        <v>556904</v>
      </c>
      <c r="E2526" t="s">
        <v>2186</v>
      </c>
      <c r="F2526" t="s">
        <v>9</v>
      </c>
    </row>
    <row r="2527" spans="1:6" x14ac:dyDescent="0.25">
      <c r="A2527" t="str">
        <f>"22692061"</f>
        <v>22692061</v>
      </c>
      <c r="B2527" t="s">
        <v>2707</v>
      </c>
      <c r="C2527" t="s">
        <v>7</v>
      </c>
      <c r="D2527" t="str">
        <f t="shared" si="92"/>
        <v>556904</v>
      </c>
      <c r="E2527" t="s">
        <v>2186</v>
      </c>
      <c r="F2527" t="s">
        <v>9</v>
      </c>
    </row>
    <row r="2528" spans="1:6" x14ac:dyDescent="0.25">
      <c r="A2528" t="str">
        <f>"26533618"</f>
        <v>26533618</v>
      </c>
      <c r="B2528" t="s">
        <v>2708</v>
      </c>
      <c r="C2528" t="s">
        <v>7</v>
      </c>
      <c r="D2528" t="str">
        <f t="shared" si="92"/>
        <v>556904</v>
      </c>
      <c r="E2528" t="s">
        <v>2186</v>
      </c>
      <c r="F2528" t="s">
        <v>11</v>
      </c>
    </row>
    <row r="2529" spans="1:6" x14ac:dyDescent="0.25">
      <c r="A2529" t="str">
        <f>"17149541"</f>
        <v>17149541</v>
      </c>
      <c r="B2529" t="s">
        <v>2709</v>
      </c>
      <c r="C2529" t="s">
        <v>7</v>
      </c>
      <c r="D2529" t="str">
        <f t="shared" si="92"/>
        <v>556904</v>
      </c>
      <c r="E2529" t="s">
        <v>2186</v>
      </c>
      <c r="F2529" t="s">
        <v>29</v>
      </c>
    </row>
    <row r="2530" spans="1:6" x14ac:dyDescent="0.25">
      <c r="A2530" t="str">
        <f>"01907051"</f>
        <v>01907051</v>
      </c>
      <c r="B2530" t="s">
        <v>2710</v>
      </c>
      <c r="C2530" t="s">
        <v>7</v>
      </c>
      <c r="D2530" t="str">
        <f t="shared" si="92"/>
        <v>556904</v>
      </c>
      <c r="E2530" t="s">
        <v>2186</v>
      </c>
      <c r="F2530" t="s">
        <v>11</v>
      </c>
    </row>
    <row r="2531" spans="1:6" x14ac:dyDescent="0.25">
      <c r="A2531" t="str">
        <f>"06189563"</f>
        <v>06189563</v>
      </c>
      <c r="B2531" t="s">
        <v>2711</v>
      </c>
      <c r="C2531" t="s">
        <v>7</v>
      </c>
      <c r="D2531" t="str">
        <f t="shared" si="92"/>
        <v>556904</v>
      </c>
      <c r="E2531" t="s">
        <v>2186</v>
      </c>
      <c r="F2531" t="s">
        <v>11</v>
      </c>
    </row>
    <row r="2532" spans="1:6" x14ac:dyDescent="0.25">
      <c r="A2532" t="str">
        <f>"22609351"</f>
        <v>22609351</v>
      </c>
      <c r="B2532" t="s">
        <v>2712</v>
      </c>
      <c r="C2532" t="s">
        <v>7</v>
      </c>
      <c r="D2532" t="str">
        <f t="shared" si="92"/>
        <v>556904</v>
      </c>
      <c r="E2532" t="s">
        <v>2186</v>
      </c>
      <c r="F2532" t="s">
        <v>62</v>
      </c>
    </row>
    <row r="2533" spans="1:6" x14ac:dyDescent="0.25">
      <c r="A2533" t="str">
        <f>"02457580"</f>
        <v>02457580</v>
      </c>
      <c r="B2533" t="s">
        <v>2713</v>
      </c>
      <c r="C2533" t="s">
        <v>7</v>
      </c>
      <c r="D2533" t="str">
        <f t="shared" si="92"/>
        <v>556904</v>
      </c>
      <c r="E2533" t="s">
        <v>2186</v>
      </c>
      <c r="F2533" t="s">
        <v>13</v>
      </c>
    </row>
    <row r="2534" spans="1:6" x14ac:dyDescent="0.25">
      <c r="A2534" t="str">
        <f>"46747371"</f>
        <v>46747371</v>
      </c>
      <c r="B2534" t="s">
        <v>2714</v>
      </c>
      <c r="C2534" t="s">
        <v>15</v>
      </c>
      <c r="D2534" t="str">
        <f t="shared" si="92"/>
        <v>556904</v>
      </c>
      <c r="E2534" t="s">
        <v>2186</v>
      </c>
      <c r="F2534" t="s">
        <v>11</v>
      </c>
    </row>
    <row r="2535" spans="1:6" x14ac:dyDescent="0.25">
      <c r="A2535" t="str">
        <f>"01974165"</f>
        <v>01974165</v>
      </c>
      <c r="B2535" t="s">
        <v>2715</v>
      </c>
      <c r="C2535" t="s">
        <v>7</v>
      </c>
      <c r="D2535" t="str">
        <f t="shared" si="92"/>
        <v>556904</v>
      </c>
      <c r="E2535" t="s">
        <v>2186</v>
      </c>
      <c r="F2535" t="s">
        <v>11</v>
      </c>
    </row>
    <row r="2536" spans="1:6" x14ac:dyDescent="0.25">
      <c r="A2536" t="str">
        <f>"64040348"</f>
        <v>64040348</v>
      </c>
      <c r="B2536" t="s">
        <v>2716</v>
      </c>
      <c r="C2536" t="s">
        <v>7</v>
      </c>
      <c r="D2536" t="str">
        <f t="shared" ref="D2536:D2599" si="93">"556904"</f>
        <v>556904</v>
      </c>
      <c r="E2536" t="s">
        <v>2186</v>
      </c>
      <c r="F2536" t="s">
        <v>9</v>
      </c>
    </row>
    <row r="2537" spans="1:6" x14ac:dyDescent="0.25">
      <c r="A2537" t="str">
        <f>"22857320"</f>
        <v>22857320</v>
      </c>
      <c r="B2537" t="s">
        <v>2717</v>
      </c>
      <c r="C2537" t="s">
        <v>7</v>
      </c>
      <c r="D2537" t="str">
        <f t="shared" si="93"/>
        <v>556904</v>
      </c>
      <c r="E2537" t="s">
        <v>2186</v>
      </c>
      <c r="F2537" t="s">
        <v>35</v>
      </c>
    </row>
    <row r="2538" spans="1:6" x14ac:dyDescent="0.25">
      <c r="A2538" t="str">
        <f>"22664017"</f>
        <v>22664017</v>
      </c>
      <c r="B2538" t="s">
        <v>2718</v>
      </c>
      <c r="C2538" t="s">
        <v>7</v>
      </c>
      <c r="D2538" t="str">
        <f t="shared" si="93"/>
        <v>556904</v>
      </c>
      <c r="E2538" t="s">
        <v>2186</v>
      </c>
      <c r="F2538" t="s">
        <v>65</v>
      </c>
    </row>
    <row r="2539" spans="1:6" x14ac:dyDescent="0.25">
      <c r="A2539" t="str">
        <f>"46747664"</f>
        <v>46747664</v>
      </c>
      <c r="B2539" t="s">
        <v>2719</v>
      </c>
      <c r="C2539" t="s">
        <v>7</v>
      </c>
      <c r="D2539" t="str">
        <f t="shared" si="93"/>
        <v>556904</v>
      </c>
      <c r="E2539" t="s">
        <v>2186</v>
      </c>
      <c r="F2539" t="s">
        <v>9</v>
      </c>
    </row>
    <row r="2540" spans="1:6" x14ac:dyDescent="0.25">
      <c r="A2540" t="str">
        <f>"26600684"</f>
        <v>26600684</v>
      </c>
      <c r="B2540" t="s">
        <v>2720</v>
      </c>
      <c r="C2540" t="s">
        <v>7</v>
      </c>
      <c r="D2540" t="str">
        <f t="shared" si="93"/>
        <v>556904</v>
      </c>
      <c r="E2540" t="s">
        <v>2186</v>
      </c>
      <c r="F2540" t="s">
        <v>11</v>
      </c>
    </row>
    <row r="2541" spans="1:6" x14ac:dyDescent="0.25">
      <c r="A2541" t="str">
        <f>"02421976"</f>
        <v>02421976</v>
      </c>
      <c r="B2541" t="s">
        <v>2721</v>
      </c>
      <c r="C2541" t="s">
        <v>7</v>
      </c>
      <c r="D2541" t="str">
        <f t="shared" si="93"/>
        <v>556904</v>
      </c>
      <c r="E2541" t="s">
        <v>2186</v>
      </c>
      <c r="F2541" t="s">
        <v>11</v>
      </c>
    </row>
    <row r="2542" spans="1:6" x14ac:dyDescent="0.25">
      <c r="A2542" t="str">
        <f>"02384264"</f>
        <v>02384264</v>
      </c>
      <c r="B2542" t="s">
        <v>2722</v>
      </c>
      <c r="C2542" t="s">
        <v>7</v>
      </c>
      <c r="D2542" t="str">
        <f t="shared" si="93"/>
        <v>556904</v>
      </c>
      <c r="E2542" t="s">
        <v>2186</v>
      </c>
      <c r="F2542" t="s">
        <v>139</v>
      </c>
    </row>
    <row r="2543" spans="1:6" x14ac:dyDescent="0.25">
      <c r="A2543" t="str">
        <f>"70200866"</f>
        <v>70200866</v>
      </c>
      <c r="B2543" t="s">
        <v>2723</v>
      </c>
      <c r="C2543" t="s">
        <v>7</v>
      </c>
      <c r="D2543" t="str">
        <f t="shared" si="93"/>
        <v>556904</v>
      </c>
      <c r="E2543" t="s">
        <v>2186</v>
      </c>
      <c r="F2543" t="s">
        <v>35</v>
      </c>
    </row>
    <row r="2544" spans="1:6" x14ac:dyDescent="0.25">
      <c r="A2544" t="str">
        <f>"64040569"</f>
        <v>64040569</v>
      </c>
      <c r="B2544" t="s">
        <v>2724</v>
      </c>
      <c r="C2544" t="s">
        <v>15</v>
      </c>
      <c r="D2544" t="str">
        <f t="shared" si="93"/>
        <v>556904</v>
      </c>
      <c r="E2544" t="s">
        <v>2186</v>
      </c>
      <c r="F2544" t="s">
        <v>9</v>
      </c>
    </row>
    <row r="2545" spans="1:6" x14ac:dyDescent="0.25">
      <c r="A2545" t="str">
        <f>"69291306"</f>
        <v>69291306</v>
      </c>
      <c r="B2545" t="s">
        <v>2725</v>
      </c>
      <c r="C2545" t="s">
        <v>15</v>
      </c>
      <c r="D2545" t="str">
        <f t="shared" si="93"/>
        <v>556904</v>
      </c>
      <c r="E2545" t="s">
        <v>2186</v>
      </c>
      <c r="F2545" t="s">
        <v>29</v>
      </c>
    </row>
    <row r="2546" spans="1:6" x14ac:dyDescent="0.25">
      <c r="A2546" t="str">
        <f>"26593483"</f>
        <v>26593483</v>
      </c>
      <c r="B2546" t="s">
        <v>2726</v>
      </c>
      <c r="C2546" t="s">
        <v>7</v>
      </c>
      <c r="D2546" t="str">
        <f t="shared" si="93"/>
        <v>556904</v>
      </c>
      <c r="E2546" t="s">
        <v>2186</v>
      </c>
      <c r="F2546" t="s">
        <v>11</v>
      </c>
    </row>
    <row r="2547" spans="1:6" x14ac:dyDescent="0.25">
      <c r="A2547" t="str">
        <f>"22716815"</f>
        <v>22716815</v>
      </c>
      <c r="B2547" t="s">
        <v>2727</v>
      </c>
      <c r="C2547" t="s">
        <v>7</v>
      </c>
      <c r="D2547" t="str">
        <f t="shared" si="93"/>
        <v>556904</v>
      </c>
      <c r="E2547" t="s">
        <v>2186</v>
      </c>
      <c r="F2547" t="s">
        <v>11</v>
      </c>
    </row>
    <row r="2548" spans="1:6" x14ac:dyDescent="0.25">
      <c r="A2548" t="str">
        <f>"64040526"</f>
        <v>64040526</v>
      </c>
      <c r="B2548" t="s">
        <v>2728</v>
      </c>
      <c r="C2548" t="s">
        <v>7</v>
      </c>
      <c r="D2548" t="str">
        <f t="shared" si="93"/>
        <v>556904</v>
      </c>
      <c r="E2548" t="s">
        <v>2186</v>
      </c>
      <c r="F2548" t="s">
        <v>381</v>
      </c>
    </row>
    <row r="2549" spans="1:6" x14ac:dyDescent="0.25">
      <c r="A2549" t="str">
        <f>"01307169"</f>
        <v>01307169</v>
      </c>
      <c r="B2549" t="s">
        <v>2729</v>
      </c>
      <c r="C2549" t="s">
        <v>7</v>
      </c>
      <c r="D2549" t="str">
        <f t="shared" si="93"/>
        <v>556904</v>
      </c>
      <c r="E2549" t="s">
        <v>2186</v>
      </c>
      <c r="F2549" t="s">
        <v>11</v>
      </c>
    </row>
    <row r="2550" spans="1:6" x14ac:dyDescent="0.25">
      <c r="A2550" t="str">
        <f>"09629246"</f>
        <v>09629246</v>
      </c>
      <c r="B2550" t="s">
        <v>2730</v>
      </c>
      <c r="C2550" t="s">
        <v>7</v>
      </c>
      <c r="D2550" t="str">
        <f t="shared" si="93"/>
        <v>556904</v>
      </c>
      <c r="E2550" t="s">
        <v>2186</v>
      </c>
      <c r="F2550" t="s">
        <v>29</v>
      </c>
    </row>
    <row r="2551" spans="1:6" x14ac:dyDescent="0.25">
      <c r="A2551" t="str">
        <f>"14248808"</f>
        <v>14248808</v>
      </c>
      <c r="B2551" t="s">
        <v>2731</v>
      </c>
      <c r="C2551" t="s">
        <v>7</v>
      </c>
      <c r="D2551" t="str">
        <f t="shared" si="93"/>
        <v>556904</v>
      </c>
      <c r="E2551" t="s">
        <v>2186</v>
      </c>
      <c r="F2551" t="s">
        <v>29</v>
      </c>
    </row>
    <row r="2552" spans="1:6" x14ac:dyDescent="0.25">
      <c r="A2552" t="str">
        <f>"71177060"</f>
        <v>71177060</v>
      </c>
      <c r="B2552" t="s">
        <v>2732</v>
      </c>
      <c r="C2552" t="s">
        <v>7</v>
      </c>
      <c r="D2552" t="str">
        <f t="shared" si="93"/>
        <v>556904</v>
      </c>
      <c r="E2552" t="s">
        <v>2186</v>
      </c>
      <c r="F2552" t="s">
        <v>11</v>
      </c>
    </row>
    <row r="2553" spans="1:6" x14ac:dyDescent="0.25">
      <c r="A2553" t="str">
        <f>"26637413"</f>
        <v>26637413</v>
      </c>
      <c r="B2553" t="s">
        <v>2733</v>
      </c>
      <c r="C2553" t="s">
        <v>7</v>
      </c>
      <c r="D2553" t="str">
        <f t="shared" si="93"/>
        <v>556904</v>
      </c>
      <c r="E2553" t="s">
        <v>2186</v>
      </c>
      <c r="F2553" t="s">
        <v>9</v>
      </c>
    </row>
    <row r="2554" spans="1:6" x14ac:dyDescent="0.25">
      <c r="A2554" t="str">
        <f>"22604847"</f>
        <v>22604847</v>
      </c>
      <c r="B2554" t="s">
        <v>2734</v>
      </c>
      <c r="C2554" t="s">
        <v>7</v>
      </c>
      <c r="D2554" t="str">
        <f t="shared" si="93"/>
        <v>556904</v>
      </c>
      <c r="E2554" t="s">
        <v>2186</v>
      </c>
      <c r="F2554" t="s">
        <v>389</v>
      </c>
    </row>
    <row r="2555" spans="1:6" x14ac:dyDescent="0.25">
      <c r="A2555" t="str">
        <f>"05467926"</f>
        <v>05467926</v>
      </c>
      <c r="B2555" t="s">
        <v>2735</v>
      </c>
      <c r="C2555" t="s">
        <v>27</v>
      </c>
      <c r="D2555" t="str">
        <f t="shared" si="93"/>
        <v>556904</v>
      </c>
      <c r="E2555" t="s">
        <v>2186</v>
      </c>
      <c r="F2555" t="s">
        <v>254</v>
      </c>
    </row>
    <row r="2556" spans="1:6" x14ac:dyDescent="0.25">
      <c r="A2556" t="str">
        <f>"27275558"</f>
        <v>27275558</v>
      </c>
      <c r="B2556" t="s">
        <v>2736</v>
      </c>
      <c r="C2556" t="s">
        <v>78</v>
      </c>
      <c r="D2556" t="str">
        <f t="shared" si="93"/>
        <v>556904</v>
      </c>
      <c r="E2556" t="s">
        <v>2186</v>
      </c>
      <c r="F2556" t="s">
        <v>2737</v>
      </c>
    </row>
    <row r="2557" spans="1:6" x14ac:dyDescent="0.25">
      <c r="A2557" t="str">
        <f>"02761033"</f>
        <v>02761033</v>
      </c>
      <c r="B2557" t="s">
        <v>2738</v>
      </c>
      <c r="C2557" t="s">
        <v>7</v>
      </c>
      <c r="D2557" t="str">
        <f t="shared" si="93"/>
        <v>556904</v>
      </c>
      <c r="E2557" t="s">
        <v>2186</v>
      </c>
      <c r="F2557" t="s">
        <v>13</v>
      </c>
    </row>
    <row r="2558" spans="1:6" x14ac:dyDescent="0.25">
      <c r="A2558" t="str">
        <f>"71213741"</f>
        <v>71213741</v>
      </c>
      <c r="B2558" t="s">
        <v>2739</v>
      </c>
      <c r="C2558" t="s">
        <v>7</v>
      </c>
      <c r="D2558" t="str">
        <f t="shared" si="93"/>
        <v>556904</v>
      </c>
      <c r="E2558" t="s">
        <v>2186</v>
      </c>
      <c r="F2558" t="s">
        <v>11</v>
      </c>
    </row>
    <row r="2559" spans="1:6" x14ac:dyDescent="0.25">
      <c r="A2559" t="str">
        <f>"44225393"</f>
        <v>44225393</v>
      </c>
      <c r="B2559" t="s">
        <v>2740</v>
      </c>
      <c r="C2559" t="s">
        <v>20</v>
      </c>
      <c r="D2559" t="str">
        <f t="shared" si="93"/>
        <v>556904</v>
      </c>
      <c r="E2559" t="s">
        <v>2186</v>
      </c>
      <c r="F2559" t="s">
        <v>21</v>
      </c>
    </row>
    <row r="2560" spans="1:6" x14ac:dyDescent="0.25">
      <c r="A2560" t="str">
        <f>"46744339"</f>
        <v>46744339</v>
      </c>
      <c r="B2560" t="s">
        <v>2741</v>
      </c>
      <c r="C2560" t="s">
        <v>726</v>
      </c>
      <c r="D2560" t="str">
        <f t="shared" si="93"/>
        <v>556904</v>
      </c>
      <c r="E2560" t="s">
        <v>2186</v>
      </c>
      <c r="F2560" t="s">
        <v>62</v>
      </c>
    </row>
    <row r="2561" spans="1:6" x14ac:dyDescent="0.25">
      <c r="A2561" t="str">
        <f>"69291527"</f>
        <v>69291527</v>
      </c>
      <c r="B2561" t="s">
        <v>2742</v>
      </c>
      <c r="C2561" t="s">
        <v>7</v>
      </c>
      <c r="D2561" t="str">
        <f t="shared" si="93"/>
        <v>556904</v>
      </c>
      <c r="E2561" t="s">
        <v>2186</v>
      </c>
      <c r="F2561" t="s">
        <v>254</v>
      </c>
    </row>
    <row r="2562" spans="1:6" x14ac:dyDescent="0.25">
      <c r="A2562" t="str">
        <f>"14426943"</f>
        <v>14426943</v>
      </c>
      <c r="B2562" t="s">
        <v>2743</v>
      </c>
      <c r="C2562" t="s">
        <v>7</v>
      </c>
      <c r="D2562" t="str">
        <f t="shared" si="93"/>
        <v>556904</v>
      </c>
      <c r="E2562" t="s">
        <v>2186</v>
      </c>
      <c r="F2562" t="s">
        <v>58</v>
      </c>
    </row>
    <row r="2563" spans="1:6" x14ac:dyDescent="0.25">
      <c r="A2563" t="str">
        <f>"22732314"</f>
        <v>22732314</v>
      </c>
      <c r="B2563" t="s">
        <v>2744</v>
      </c>
      <c r="C2563" t="s">
        <v>7</v>
      </c>
      <c r="D2563" t="str">
        <f t="shared" si="93"/>
        <v>556904</v>
      </c>
      <c r="E2563" t="s">
        <v>2186</v>
      </c>
      <c r="F2563" t="s">
        <v>9</v>
      </c>
    </row>
    <row r="2564" spans="1:6" x14ac:dyDescent="0.25">
      <c r="A2564" t="str">
        <f>"22833765"</f>
        <v>22833765</v>
      </c>
      <c r="B2564" t="s">
        <v>2745</v>
      </c>
      <c r="C2564" t="s">
        <v>7</v>
      </c>
      <c r="D2564" t="str">
        <f t="shared" si="93"/>
        <v>556904</v>
      </c>
      <c r="E2564" t="s">
        <v>2186</v>
      </c>
      <c r="F2564" t="s">
        <v>11</v>
      </c>
    </row>
    <row r="2565" spans="1:6" x14ac:dyDescent="0.25">
      <c r="A2565" t="str">
        <f>"68955014"</f>
        <v>68955014</v>
      </c>
      <c r="B2565" t="s">
        <v>2746</v>
      </c>
      <c r="C2565" t="s">
        <v>7</v>
      </c>
      <c r="D2565" t="str">
        <f t="shared" si="93"/>
        <v>556904</v>
      </c>
      <c r="E2565" t="s">
        <v>2186</v>
      </c>
      <c r="F2565" t="s">
        <v>254</v>
      </c>
    </row>
    <row r="2566" spans="1:6" x14ac:dyDescent="0.25">
      <c r="A2566" t="str">
        <f>"70927383"</f>
        <v>70927383</v>
      </c>
      <c r="B2566" t="s">
        <v>2747</v>
      </c>
      <c r="C2566" t="s">
        <v>15</v>
      </c>
      <c r="D2566" t="str">
        <f t="shared" si="93"/>
        <v>556904</v>
      </c>
      <c r="E2566" t="s">
        <v>2186</v>
      </c>
      <c r="F2566" t="s">
        <v>9</v>
      </c>
    </row>
    <row r="2567" spans="1:6" x14ac:dyDescent="0.25">
      <c r="A2567" t="str">
        <f>"70957690"</f>
        <v>70957690</v>
      </c>
      <c r="B2567" t="s">
        <v>2748</v>
      </c>
      <c r="C2567" t="s">
        <v>15</v>
      </c>
      <c r="D2567" t="str">
        <f t="shared" si="93"/>
        <v>556904</v>
      </c>
      <c r="E2567" t="s">
        <v>2186</v>
      </c>
      <c r="F2567" t="s">
        <v>11</v>
      </c>
    </row>
    <row r="2568" spans="1:6" x14ac:dyDescent="0.25">
      <c r="A2568" t="str">
        <f>"71202102"</f>
        <v>71202102</v>
      </c>
      <c r="B2568" t="s">
        <v>2749</v>
      </c>
      <c r="C2568" t="s">
        <v>15</v>
      </c>
      <c r="D2568" t="str">
        <f t="shared" si="93"/>
        <v>556904</v>
      </c>
      <c r="E2568" t="s">
        <v>2186</v>
      </c>
      <c r="F2568" t="s">
        <v>9</v>
      </c>
    </row>
    <row r="2569" spans="1:6" x14ac:dyDescent="0.25">
      <c r="A2569" t="str">
        <f>"05505704"</f>
        <v>05505704</v>
      </c>
      <c r="B2569" t="s">
        <v>2750</v>
      </c>
      <c r="C2569" t="s">
        <v>7</v>
      </c>
      <c r="D2569" t="str">
        <f t="shared" si="93"/>
        <v>556904</v>
      </c>
      <c r="E2569" t="s">
        <v>2186</v>
      </c>
      <c r="F2569" t="s">
        <v>11</v>
      </c>
    </row>
    <row r="2570" spans="1:6" x14ac:dyDescent="0.25">
      <c r="A2570" t="str">
        <f>"05824613"</f>
        <v>05824613</v>
      </c>
      <c r="B2570" t="s">
        <v>2751</v>
      </c>
      <c r="C2570" t="s">
        <v>15</v>
      </c>
      <c r="D2570" t="str">
        <f t="shared" si="93"/>
        <v>556904</v>
      </c>
      <c r="E2570" t="s">
        <v>2186</v>
      </c>
      <c r="F2570" t="s">
        <v>9</v>
      </c>
    </row>
    <row r="2571" spans="1:6" x14ac:dyDescent="0.25">
      <c r="A2571" t="str">
        <f>"22746421"</f>
        <v>22746421</v>
      </c>
      <c r="B2571" t="s">
        <v>2752</v>
      </c>
      <c r="C2571" t="s">
        <v>15</v>
      </c>
      <c r="D2571" t="str">
        <f t="shared" si="93"/>
        <v>556904</v>
      </c>
      <c r="E2571" t="s">
        <v>2186</v>
      </c>
      <c r="F2571" t="s">
        <v>9</v>
      </c>
    </row>
    <row r="2572" spans="1:6" x14ac:dyDescent="0.25">
      <c r="A2572" t="str">
        <f>"22895311"</f>
        <v>22895311</v>
      </c>
      <c r="B2572" t="s">
        <v>2753</v>
      </c>
      <c r="C2572" t="s">
        <v>7</v>
      </c>
      <c r="D2572" t="str">
        <f t="shared" si="93"/>
        <v>556904</v>
      </c>
      <c r="E2572" t="s">
        <v>2186</v>
      </c>
      <c r="F2572" t="s">
        <v>9</v>
      </c>
    </row>
    <row r="2573" spans="1:6" x14ac:dyDescent="0.25">
      <c r="A2573" t="str">
        <f>"26661799"</f>
        <v>26661799</v>
      </c>
      <c r="B2573" t="s">
        <v>2754</v>
      </c>
      <c r="C2573" t="s">
        <v>7</v>
      </c>
      <c r="D2573" t="str">
        <f t="shared" si="93"/>
        <v>556904</v>
      </c>
      <c r="E2573" t="s">
        <v>2186</v>
      </c>
      <c r="F2573" t="s">
        <v>11</v>
      </c>
    </row>
    <row r="2574" spans="1:6" x14ac:dyDescent="0.25">
      <c r="A2574" t="str">
        <f>"11771755"</f>
        <v>11771755</v>
      </c>
      <c r="B2574" t="s">
        <v>2755</v>
      </c>
      <c r="C2574" t="s">
        <v>7</v>
      </c>
      <c r="D2574" t="str">
        <f t="shared" si="93"/>
        <v>556904</v>
      </c>
      <c r="E2574" t="s">
        <v>2186</v>
      </c>
      <c r="F2574" t="s">
        <v>13</v>
      </c>
    </row>
    <row r="2575" spans="1:6" x14ac:dyDescent="0.25">
      <c r="A2575" t="str">
        <f>"70583111"</f>
        <v>70583111</v>
      </c>
      <c r="B2575" t="s">
        <v>2756</v>
      </c>
      <c r="C2575" t="s">
        <v>7</v>
      </c>
      <c r="D2575" t="str">
        <f t="shared" si="93"/>
        <v>556904</v>
      </c>
      <c r="E2575" t="s">
        <v>2186</v>
      </c>
      <c r="F2575" t="s">
        <v>379</v>
      </c>
    </row>
    <row r="2576" spans="1:6" x14ac:dyDescent="0.25">
      <c r="A2576" t="str">
        <f>"46744134"</f>
        <v>46744134</v>
      </c>
      <c r="B2576" t="s">
        <v>2757</v>
      </c>
      <c r="C2576" t="s">
        <v>7</v>
      </c>
      <c r="D2576" t="str">
        <f t="shared" si="93"/>
        <v>556904</v>
      </c>
      <c r="E2576" t="s">
        <v>2186</v>
      </c>
      <c r="F2576" t="s">
        <v>2392</v>
      </c>
    </row>
    <row r="2577" spans="1:6" x14ac:dyDescent="0.25">
      <c r="A2577" t="str">
        <f>"02313219"</f>
        <v>02313219</v>
      </c>
      <c r="B2577" t="s">
        <v>2758</v>
      </c>
      <c r="C2577" t="s">
        <v>7</v>
      </c>
      <c r="D2577" t="str">
        <f t="shared" si="93"/>
        <v>556904</v>
      </c>
      <c r="E2577" t="s">
        <v>2186</v>
      </c>
      <c r="F2577" t="s">
        <v>11</v>
      </c>
    </row>
    <row r="2578" spans="1:6" x14ac:dyDescent="0.25">
      <c r="A2578" t="str">
        <f>"44223897"</f>
        <v>44223897</v>
      </c>
      <c r="B2578" t="s">
        <v>2759</v>
      </c>
      <c r="C2578" t="s">
        <v>779</v>
      </c>
      <c r="D2578" t="str">
        <f t="shared" si="93"/>
        <v>556904</v>
      </c>
      <c r="E2578" t="s">
        <v>2186</v>
      </c>
      <c r="F2578" t="s">
        <v>1685</v>
      </c>
    </row>
    <row r="2579" spans="1:6" x14ac:dyDescent="0.25">
      <c r="A2579" t="str">
        <f>"26650487"</f>
        <v>26650487</v>
      </c>
      <c r="B2579" t="s">
        <v>2760</v>
      </c>
      <c r="C2579" t="s">
        <v>7</v>
      </c>
      <c r="D2579" t="str">
        <f t="shared" si="93"/>
        <v>556904</v>
      </c>
      <c r="E2579" t="s">
        <v>2186</v>
      </c>
      <c r="F2579" t="s">
        <v>11</v>
      </c>
    </row>
    <row r="2580" spans="1:6" x14ac:dyDescent="0.25">
      <c r="A2580" t="str">
        <f>"22672079"</f>
        <v>22672079</v>
      </c>
      <c r="B2580" t="s">
        <v>2761</v>
      </c>
      <c r="C2580" t="s">
        <v>7</v>
      </c>
      <c r="D2580" t="str">
        <f t="shared" si="93"/>
        <v>556904</v>
      </c>
      <c r="E2580" t="s">
        <v>2186</v>
      </c>
      <c r="F2580" t="s">
        <v>11</v>
      </c>
    </row>
    <row r="2581" spans="1:6" x14ac:dyDescent="0.25">
      <c r="A2581" t="str">
        <f>"26559561"</f>
        <v>26559561</v>
      </c>
      <c r="B2581" t="s">
        <v>2762</v>
      </c>
      <c r="C2581" t="s">
        <v>7</v>
      </c>
      <c r="D2581" t="str">
        <f t="shared" si="93"/>
        <v>556904</v>
      </c>
      <c r="E2581" t="s">
        <v>2186</v>
      </c>
      <c r="F2581" t="s">
        <v>139</v>
      </c>
    </row>
    <row r="2582" spans="1:6" x14ac:dyDescent="0.25">
      <c r="A2582" t="str">
        <f>"05120446"</f>
        <v>05120446</v>
      </c>
      <c r="B2582" t="s">
        <v>2763</v>
      </c>
      <c r="C2582" t="s">
        <v>7</v>
      </c>
      <c r="D2582" t="str">
        <f t="shared" si="93"/>
        <v>556904</v>
      </c>
      <c r="E2582" t="s">
        <v>2186</v>
      </c>
      <c r="F2582" t="s">
        <v>11</v>
      </c>
    </row>
    <row r="2583" spans="1:6" x14ac:dyDescent="0.25">
      <c r="A2583" t="str">
        <f>"66110912"</f>
        <v>66110912</v>
      </c>
      <c r="B2583" t="s">
        <v>2764</v>
      </c>
      <c r="C2583" t="s">
        <v>7</v>
      </c>
      <c r="D2583" t="str">
        <f t="shared" si="93"/>
        <v>556904</v>
      </c>
      <c r="E2583" t="s">
        <v>2186</v>
      </c>
      <c r="F2583" t="s">
        <v>11</v>
      </c>
    </row>
    <row r="2584" spans="1:6" x14ac:dyDescent="0.25">
      <c r="A2584" t="str">
        <f>"66110521"</f>
        <v>66110521</v>
      </c>
      <c r="B2584" t="s">
        <v>2765</v>
      </c>
      <c r="C2584" t="s">
        <v>7</v>
      </c>
      <c r="D2584" t="str">
        <f t="shared" si="93"/>
        <v>556904</v>
      </c>
      <c r="E2584" t="s">
        <v>2186</v>
      </c>
      <c r="F2584" t="s">
        <v>11</v>
      </c>
    </row>
    <row r="2585" spans="1:6" x14ac:dyDescent="0.25">
      <c r="A2585" t="str">
        <f>"11782382"</f>
        <v>11782382</v>
      </c>
      <c r="B2585" t="s">
        <v>2766</v>
      </c>
      <c r="C2585" t="s">
        <v>7</v>
      </c>
      <c r="D2585" t="str">
        <f t="shared" si="93"/>
        <v>556904</v>
      </c>
      <c r="E2585" t="s">
        <v>2186</v>
      </c>
      <c r="F2585" t="s">
        <v>11</v>
      </c>
    </row>
    <row r="2586" spans="1:6" x14ac:dyDescent="0.25">
      <c r="A2586" t="str">
        <f>"68982879"</f>
        <v>68982879</v>
      </c>
      <c r="B2586" t="s">
        <v>2767</v>
      </c>
      <c r="C2586" t="s">
        <v>7</v>
      </c>
      <c r="D2586" t="str">
        <f t="shared" si="93"/>
        <v>556904</v>
      </c>
      <c r="E2586" t="s">
        <v>2186</v>
      </c>
      <c r="F2586" t="s">
        <v>254</v>
      </c>
    </row>
    <row r="2587" spans="1:6" x14ac:dyDescent="0.25">
      <c r="A2587" t="str">
        <f>"46748946"</f>
        <v>46748946</v>
      </c>
      <c r="B2587" t="s">
        <v>2768</v>
      </c>
      <c r="C2587" t="s">
        <v>7</v>
      </c>
      <c r="D2587" t="str">
        <f t="shared" si="93"/>
        <v>556904</v>
      </c>
      <c r="E2587" t="s">
        <v>2186</v>
      </c>
      <c r="F2587" t="s">
        <v>11</v>
      </c>
    </row>
    <row r="2588" spans="1:6" x14ac:dyDescent="0.25">
      <c r="A2588" t="str">
        <f>"21635277"</f>
        <v>21635277</v>
      </c>
      <c r="B2588" t="s">
        <v>2769</v>
      </c>
      <c r="C2588" t="s">
        <v>7</v>
      </c>
      <c r="D2588" t="str">
        <f t="shared" si="93"/>
        <v>556904</v>
      </c>
      <c r="E2588" t="s">
        <v>2186</v>
      </c>
      <c r="F2588" t="s">
        <v>11</v>
      </c>
    </row>
    <row r="2589" spans="1:6" x14ac:dyDescent="0.25">
      <c r="A2589" t="str">
        <f>"28553004"</f>
        <v>28553004</v>
      </c>
      <c r="B2589" t="s">
        <v>2770</v>
      </c>
      <c r="C2589" t="s">
        <v>7</v>
      </c>
      <c r="D2589" t="str">
        <f t="shared" si="93"/>
        <v>556904</v>
      </c>
      <c r="E2589" t="s">
        <v>2186</v>
      </c>
      <c r="F2589" t="s">
        <v>11</v>
      </c>
    </row>
    <row r="2590" spans="1:6" x14ac:dyDescent="0.25">
      <c r="A2590" t="str">
        <f>"09273760"</f>
        <v>09273760</v>
      </c>
      <c r="B2590" t="s">
        <v>2771</v>
      </c>
      <c r="C2590" t="s">
        <v>7</v>
      </c>
      <c r="D2590" t="str">
        <f t="shared" si="93"/>
        <v>556904</v>
      </c>
      <c r="E2590" t="s">
        <v>2186</v>
      </c>
      <c r="F2590" t="s">
        <v>11</v>
      </c>
    </row>
    <row r="2591" spans="1:6" x14ac:dyDescent="0.25">
      <c r="A2591" t="str">
        <f>"08925755"</f>
        <v>08925755</v>
      </c>
      <c r="B2591" t="s">
        <v>2772</v>
      </c>
      <c r="C2591" t="s">
        <v>7</v>
      </c>
      <c r="D2591" t="str">
        <f t="shared" si="93"/>
        <v>556904</v>
      </c>
      <c r="E2591" t="s">
        <v>2186</v>
      </c>
      <c r="F2591" t="s">
        <v>29</v>
      </c>
    </row>
    <row r="2592" spans="1:6" x14ac:dyDescent="0.25">
      <c r="A2592" t="str">
        <f>"22711104"</f>
        <v>22711104</v>
      </c>
      <c r="B2592" t="s">
        <v>2773</v>
      </c>
      <c r="C2592" t="s">
        <v>7</v>
      </c>
      <c r="D2592" t="str">
        <f t="shared" si="93"/>
        <v>556904</v>
      </c>
      <c r="E2592" t="s">
        <v>2186</v>
      </c>
      <c r="F2592" t="s">
        <v>18</v>
      </c>
    </row>
    <row r="2593" spans="1:6" x14ac:dyDescent="0.25">
      <c r="A2593" t="str">
        <f>"06440924"</f>
        <v>06440924</v>
      </c>
      <c r="B2593" t="s">
        <v>2774</v>
      </c>
      <c r="C2593" t="s">
        <v>7</v>
      </c>
      <c r="D2593" t="str">
        <f t="shared" si="93"/>
        <v>556904</v>
      </c>
      <c r="E2593" t="s">
        <v>2186</v>
      </c>
      <c r="F2593" t="s">
        <v>139</v>
      </c>
    </row>
    <row r="2594" spans="1:6" x14ac:dyDescent="0.25">
      <c r="A2594" t="str">
        <f>"05010918"</f>
        <v>05010918</v>
      </c>
      <c r="B2594" t="s">
        <v>2775</v>
      </c>
      <c r="C2594" t="s">
        <v>7</v>
      </c>
      <c r="D2594" t="str">
        <f t="shared" si="93"/>
        <v>556904</v>
      </c>
      <c r="E2594" t="s">
        <v>2186</v>
      </c>
      <c r="F2594" t="s">
        <v>11</v>
      </c>
    </row>
    <row r="2595" spans="1:6" x14ac:dyDescent="0.25">
      <c r="A2595" t="str">
        <f>"46748491"</f>
        <v>46748491</v>
      </c>
      <c r="B2595" t="s">
        <v>2776</v>
      </c>
      <c r="C2595" t="s">
        <v>15</v>
      </c>
      <c r="D2595" t="str">
        <f t="shared" si="93"/>
        <v>556904</v>
      </c>
      <c r="E2595" t="s">
        <v>2186</v>
      </c>
      <c r="F2595" t="s">
        <v>11</v>
      </c>
    </row>
    <row r="2596" spans="1:6" x14ac:dyDescent="0.25">
      <c r="A2596" t="str">
        <f>"22892095"</f>
        <v>22892095</v>
      </c>
      <c r="B2596" t="s">
        <v>2777</v>
      </c>
      <c r="C2596" t="s">
        <v>7</v>
      </c>
      <c r="D2596" t="str">
        <f t="shared" si="93"/>
        <v>556904</v>
      </c>
      <c r="E2596" t="s">
        <v>2186</v>
      </c>
      <c r="F2596" t="s">
        <v>11</v>
      </c>
    </row>
    <row r="2597" spans="1:6" x14ac:dyDescent="0.25">
      <c r="A2597" t="str">
        <f>"04339819"</f>
        <v>04339819</v>
      </c>
      <c r="B2597" t="s">
        <v>2778</v>
      </c>
      <c r="C2597" t="s">
        <v>7</v>
      </c>
      <c r="D2597" t="str">
        <f t="shared" si="93"/>
        <v>556904</v>
      </c>
      <c r="E2597" t="s">
        <v>2186</v>
      </c>
      <c r="F2597" t="s">
        <v>13</v>
      </c>
    </row>
    <row r="2598" spans="1:6" x14ac:dyDescent="0.25">
      <c r="A2598" t="str">
        <f>"05627231"</f>
        <v>05627231</v>
      </c>
      <c r="B2598" t="s">
        <v>2779</v>
      </c>
      <c r="C2598" t="s">
        <v>7</v>
      </c>
      <c r="D2598" t="str">
        <f t="shared" si="93"/>
        <v>556904</v>
      </c>
      <c r="E2598" t="s">
        <v>2186</v>
      </c>
      <c r="F2598" t="s">
        <v>11</v>
      </c>
    </row>
    <row r="2599" spans="1:6" x14ac:dyDescent="0.25">
      <c r="A2599" t="str">
        <f>"17105561"</f>
        <v>17105561</v>
      </c>
      <c r="B2599" t="s">
        <v>2780</v>
      </c>
      <c r="C2599" t="s">
        <v>7</v>
      </c>
      <c r="D2599" t="str">
        <f t="shared" si="93"/>
        <v>556904</v>
      </c>
      <c r="E2599" t="s">
        <v>2186</v>
      </c>
      <c r="F2599" t="s">
        <v>11</v>
      </c>
    </row>
    <row r="2600" spans="1:6" x14ac:dyDescent="0.25">
      <c r="A2600" t="str">
        <f>"06405088"</f>
        <v>06405088</v>
      </c>
      <c r="B2600" t="s">
        <v>2781</v>
      </c>
      <c r="C2600" t="s">
        <v>7</v>
      </c>
      <c r="D2600" t="str">
        <f t="shared" ref="D2600:D2663" si="94">"556904"</f>
        <v>556904</v>
      </c>
      <c r="E2600" t="s">
        <v>2186</v>
      </c>
      <c r="F2600" t="s">
        <v>11</v>
      </c>
    </row>
    <row r="2601" spans="1:6" x14ac:dyDescent="0.25">
      <c r="A2601" t="str">
        <f>"25044851"</f>
        <v>25044851</v>
      </c>
      <c r="B2601" t="s">
        <v>2782</v>
      </c>
      <c r="C2601" t="s">
        <v>78</v>
      </c>
      <c r="D2601" t="str">
        <f t="shared" si="94"/>
        <v>556904</v>
      </c>
      <c r="E2601" t="s">
        <v>2186</v>
      </c>
      <c r="F2601" t="s">
        <v>1646</v>
      </c>
    </row>
    <row r="2602" spans="1:6" x14ac:dyDescent="0.25">
      <c r="A2602" t="str">
        <f>"22874909"</f>
        <v>22874909</v>
      </c>
      <c r="B2602" t="s">
        <v>2783</v>
      </c>
      <c r="C2602" t="s">
        <v>7</v>
      </c>
      <c r="D2602" t="str">
        <f t="shared" si="94"/>
        <v>556904</v>
      </c>
      <c r="E2602" t="s">
        <v>2186</v>
      </c>
      <c r="F2602" t="s">
        <v>35</v>
      </c>
    </row>
    <row r="2603" spans="1:6" x14ac:dyDescent="0.25">
      <c r="A2603" t="str">
        <f>"09244379"</f>
        <v>09244379</v>
      </c>
      <c r="B2603" t="s">
        <v>2784</v>
      </c>
      <c r="C2603" t="s">
        <v>7</v>
      </c>
      <c r="D2603" t="str">
        <f t="shared" si="94"/>
        <v>556904</v>
      </c>
      <c r="E2603" t="s">
        <v>2186</v>
      </c>
      <c r="F2603" t="s">
        <v>11</v>
      </c>
    </row>
    <row r="2604" spans="1:6" x14ac:dyDescent="0.25">
      <c r="A2604" t="str">
        <f>"22749403"</f>
        <v>22749403</v>
      </c>
      <c r="B2604" t="s">
        <v>2785</v>
      </c>
      <c r="C2604" t="s">
        <v>7</v>
      </c>
      <c r="D2604" t="str">
        <f t="shared" si="94"/>
        <v>556904</v>
      </c>
      <c r="E2604" t="s">
        <v>2186</v>
      </c>
      <c r="F2604" t="s">
        <v>29</v>
      </c>
    </row>
    <row r="2605" spans="1:6" x14ac:dyDescent="0.25">
      <c r="A2605" t="str">
        <f>"09330739"</f>
        <v>09330739</v>
      </c>
      <c r="B2605" t="s">
        <v>2786</v>
      </c>
      <c r="C2605" t="s">
        <v>7</v>
      </c>
      <c r="D2605" t="str">
        <f t="shared" si="94"/>
        <v>556904</v>
      </c>
      <c r="E2605" t="s">
        <v>2186</v>
      </c>
      <c r="F2605" t="s">
        <v>11</v>
      </c>
    </row>
    <row r="2606" spans="1:6" x14ac:dyDescent="0.25">
      <c r="A2606" t="str">
        <f>"26985713"</f>
        <v>26985713</v>
      </c>
      <c r="B2606" t="s">
        <v>2787</v>
      </c>
      <c r="C2606" t="s">
        <v>7</v>
      </c>
      <c r="D2606" t="str">
        <f t="shared" si="94"/>
        <v>556904</v>
      </c>
      <c r="E2606" t="s">
        <v>2186</v>
      </c>
      <c r="F2606" t="s">
        <v>11</v>
      </c>
    </row>
    <row r="2607" spans="1:6" x14ac:dyDescent="0.25">
      <c r="A2607" t="str">
        <f>"28553756"</f>
        <v>28553756</v>
      </c>
      <c r="B2607" t="s">
        <v>2788</v>
      </c>
      <c r="C2607" t="s">
        <v>7</v>
      </c>
      <c r="D2607" t="str">
        <f t="shared" si="94"/>
        <v>556904</v>
      </c>
      <c r="E2607" t="s">
        <v>2186</v>
      </c>
      <c r="F2607" t="s">
        <v>11</v>
      </c>
    </row>
    <row r="2608" spans="1:6" x14ac:dyDescent="0.25">
      <c r="A2608" t="str">
        <f>"08147183"</f>
        <v>08147183</v>
      </c>
      <c r="B2608" t="s">
        <v>2789</v>
      </c>
      <c r="C2608" t="s">
        <v>7</v>
      </c>
      <c r="D2608" t="str">
        <f t="shared" si="94"/>
        <v>556904</v>
      </c>
      <c r="E2608" t="s">
        <v>2186</v>
      </c>
      <c r="F2608" t="s">
        <v>11</v>
      </c>
    </row>
    <row r="2609" spans="1:6" x14ac:dyDescent="0.25">
      <c r="A2609" t="str">
        <f>"26988127"</f>
        <v>26988127</v>
      </c>
      <c r="B2609" t="s">
        <v>2790</v>
      </c>
      <c r="C2609" t="s">
        <v>7</v>
      </c>
      <c r="D2609" t="str">
        <f t="shared" si="94"/>
        <v>556904</v>
      </c>
      <c r="E2609" t="s">
        <v>2186</v>
      </c>
      <c r="F2609" t="s">
        <v>9</v>
      </c>
    </row>
    <row r="2610" spans="1:6" x14ac:dyDescent="0.25">
      <c r="A2610" t="str">
        <f>"04245997"</f>
        <v>04245997</v>
      </c>
      <c r="B2610" t="s">
        <v>2791</v>
      </c>
      <c r="C2610" t="s">
        <v>43</v>
      </c>
      <c r="D2610" t="str">
        <f t="shared" si="94"/>
        <v>556904</v>
      </c>
      <c r="E2610" t="s">
        <v>2186</v>
      </c>
      <c r="F2610" t="s">
        <v>44</v>
      </c>
    </row>
    <row r="2611" spans="1:6" x14ac:dyDescent="0.25">
      <c r="A2611" t="str">
        <f>"05709784"</f>
        <v>05709784</v>
      </c>
      <c r="B2611" t="s">
        <v>2792</v>
      </c>
      <c r="C2611" t="s">
        <v>7</v>
      </c>
      <c r="D2611" t="str">
        <f t="shared" si="94"/>
        <v>556904</v>
      </c>
      <c r="E2611" t="s">
        <v>2186</v>
      </c>
      <c r="F2611" t="s">
        <v>35</v>
      </c>
    </row>
    <row r="2612" spans="1:6" x14ac:dyDescent="0.25">
      <c r="A2612" t="str">
        <f>"22754091"</f>
        <v>22754091</v>
      </c>
      <c r="B2612" t="s">
        <v>2793</v>
      </c>
      <c r="C2612" t="s">
        <v>7</v>
      </c>
      <c r="D2612" t="str">
        <f t="shared" si="94"/>
        <v>556904</v>
      </c>
      <c r="E2612" t="s">
        <v>2186</v>
      </c>
      <c r="F2612" t="s">
        <v>11</v>
      </c>
    </row>
    <row r="2613" spans="1:6" x14ac:dyDescent="0.25">
      <c r="A2613" t="str">
        <f>"46747818"</f>
        <v>46747818</v>
      </c>
      <c r="B2613" t="s">
        <v>2794</v>
      </c>
      <c r="C2613" t="s">
        <v>7</v>
      </c>
      <c r="D2613" t="str">
        <f t="shared" si="94"/>
        <v>556904</v>
      </c>
      <c r="E2613" t="s">
        <v>2186</v>
      </c>
      <c r="F2613" t="s">
        <v>9</v>
      </c>
    </row>
    <row r="2614" spans="1:6" x14ac:dyDescent="0.25">
      <c r="A2614" t="str">
        <f>"46747443"</f>
        <v>46747443</v>
      </c>
      <c r="B2614" t="s">
        <v>2795</v>
      </c>
      <c r="C2614" t="s">
        <v>7</v>
      </c>
      <c r="D2614" t="str">
        <f t="shared" si="94"/>
        <v>556904</v>
      </c>
      <c r="E2614" t="s">
        <v>2186</v>
      </c>
      <c r="F2614" t="s">
        <v>379</v>
      </c>
    </row>
    <row r="2615" spans="1:6" x14ac:dyDescent="0.25">
      <c r="A2615" t="str">
        <f>"01720481"</f>
        <v>01720481</v>
      </c>
      <c r="B2615" t="s">
        <v>2796</v>
      </c>
      <c r="C2615" t="s">
        <v>7</v>
      </c>
      <c r="D2615" t="str">
        <f t="shared" si="94"/>
        <v>556904</v>
      </c>
      <c r="E2615" t="s">
        <v>2186</v>
      </c>
      <c r="F2615" t="s">
        <v>328</v>
      </c>
    </row>
    <row r="2616" spans="1:6" x14ac:dyDescent="0.25">
      <c r="A2616" t="str">
        <f>"26555565"</f>
        <v>26555565</v>
      </c>
      <c r="B2616" t="s">
        <v>2797</v>
      </c>
      <c r="C2616" t="s">
        <v>7</v>
      </c>
      <c r="D2616" t="str">
        <f t="shared" si="94"/>
        <v>556904</v>
      </c>
      <c r="E2616" t="s">
        <v>2186</v>
      </c>
      <c r="F2616" t="s">
        <v>62</v>
      </c>
    </row>
    <row r="2617" spans="1:6" x14ac:dyDescent="0.25">
      <c r="A2617" t="str">
        <f>"21286906"</f>
        <v>21286906</v>
      </c>
      <c r="B2617" t="s">
        <v>2798</v>
      </c>
      <c r="C2617" t="s">
        <v>7</v>
      </c>
      <c r="D2617" t="str">
        <f t="shared" si="94"/>
        <v>556904</v>
      </c>
      <c r="E2617" t="s">
        <v>2186</v>
      </c>
      <c r="F2617" t="s">
        <v>139</v>
      </c>
    </row>
    <row r="2618" spans="1:6" x14ac:dyDescent="0.25">
      <c r="A2618" t="str">
        <f>"70226903"</f>
        <v>70226903</v>
      </c>
      <c r="B2618" t="s">
        <v>2799</v>
      </c>
      <c r="C2618" t="s">
        <v>7</v>
      </c>
      <c r="D2618" t="str">
        <f t="shared" si="94"/>
        <v>556904</v>
      </c>
      <c r="E2618" t="s">
        <v>2186</v>
      </c>
      <c r="F2618" t="s">
        <v>379</v>
      </c>
    </row>
    <row r="2619" spans="1:6" x14ac:dyDescent="0.25">
      <c r="A2619" t="str">
        <f>"70583161"</f>
        <v>70583161</v>
      </c>
      <c r="B2619" t="s">
        <v>2800</v>
      </c>
      <c r="C2619" t="s">
        <v>7</v>
      </c>
      <c r="D2619" t="str">
        <f t="shared" si="94"/>
        <v>556904</v>
      </c>
      <c r="E2619" t="s">
        <v>2186</v>
      </c>
      <c r="F2619" t="s">
        <v>11</v>
      </c>
    </row>
    <row r="2620" spans="1:6" x14ac:dyDescent="0.25">
      <c r="A2620" t="str">
        <f>"06580491"</f>
        <v>06580491</v>
      </c>
      <c r="B2620" t="s">
        <v>2801</v>
      </c>
      <c r="C2620" t="s">
        <v>7</v>
      </c>
      <c r="D2620" t="str">
        <f t="shared" si="94"/>
        <v>556904</v>
      </c>
      <c r="E2620" t="s">
        <v>2186</v>
      </c>
      <c r="F2620" t="s">
        <v>139</v>
      </c>
    </row>
    <row r="2621" spans="1:6" x14ac:dyDescent="0.25">
      <c r="A2621" t="str">
        <f>"22661841"</f>
        <v>22661841</v>
      </c>
      <c r="B2621" t="s">
        <v>2802</v>
      </c>
      <c r="C2621" t="s">
        <v>7</v>
      </c>
      <c r="D2621" t="str">
        <f t="shared" si="94"/>
        <v>556904</v>
      </c>
      <c r="E2621" t="s">
        <v>2186</v>
      </c>
      <c r="F2621" t="s">
        <v>35</v>
      </c>
    </row>
    <row r="2622" spans="1:6" x14ac:dyDescent="0.25">
      <c r="A2622" t="str">
        <f>"28665180"</f>
        <v>28665180</v>
      </c>
      <c r="B2622" t="s">
        <v>2803</v>
      </c>
      <c r="C2622" t="s">
        <v>78</v>
      </c>
      <c r="D2622" t="str">
        <f t="shared" si="94"/>
        <v>556904</v>
      </c>
      <c r="E2622" t="s">
        <v>2186</v>
      </c>
      <c r="F2622" t="s">
        <v>865</v>
      </c>
    </row>
    <row r="2623" spans="1:6" x14ac:dyDescent="0.25">
      <c r="A2623" t="str">
        <f>"70922314"</f>
        <v>70922314</v>
      </c>
      <c r="B2623" t="s">
        <v>2804</v>
      </c>
      <c r="C2623" t="s">
        <v>15</v>
      </c>
      <c r="D2623" t="str">
        <f t="shared" si="94"/>
        <v>556904</v>
      </c>
      <c r="E2623" t="s">
        <v>2186</v>
      </c>
      <c r="F2623" t="s">
        <v>62</v>
      </c>
    </row>
    <row r="2624" spans="1:6" x14ac:dyDescent="0.25">
      <c r="A2624" t="str">
        <f>"70937991"</f>
        <v>70937991</v>
      </c>
      <c r="B2624" t="s">
        <v>2805</v>
      </c>
      <c r="C2624" t="s">
        <v>15</v>
      </c>
      <c r="D2624" t="str">
        <f t="shared" si="94"/>
        <v>556904</v>
      </c>
      <c r="E2624" t="s">
        <v>2186</v>
      </c>
      <c r="F2624" t="s">
        <v>9</v>
      </c>
    </row>
    <row r="2625" spans="1:6" x14ac:dyDescent="0.25">
      <c r="A2625" t="str">
        <f>"02435471"</f>
        <v>02435471</v>
      </c>
      <c r="B2625" t="s">
        <v>2806</v>
      </c>
      <c r="C2625" t="s">
        <v>7</v>
      </c>
      <c r="D2625" t="str">
        <f t="shared" si="94"/>
        <v>556904</v>
      </c>
      <c r="E2625" t="s">
        <v>2186</v>
      </c>
      <c r="F2625" t="s">
        <v>29</v>
      </c>
    </row>
    <row r="2626" spans="1:6" x14ac:dyDescent="0.25">
      <c r="A2626" t="str">
        <f>"06599508"</f>
        <v>06599508</v>
      </c>
      <c r="B2626" t="s">
        <v>2807</v>
      </c>
      <c r="C2626" t="s">
        <v>15</v>
      </c>
      <c r="D2626" t="str">
        <f t="shared" si="94"/>
        <v>556904</v>
      </c>
      <c r="E2626" t="s">
        <v>2186</v>
      </c>
      <c r="F2626" t="s">
        <v>62</v>
      </c>
    </row>
    <row r="2627" spans="1:6" x14ac:dyDescent="0.25">
      <c r="A2627" t="str">
        <f>"22821554"</f>
        <v>22821554</v>
      </c>
      <c r="B2627" t="s">
        <v>2808</v>
      </c>
      <c r="C2627" t="s">
        <v>7</v>
      </c>
      <c r="D2627" t="str">
        <f t="shared" si="94"/>
        <v>556904</v>
      </c>
      <c r="E2627" t="s">
        <v>2186</v>
      </c>
      <c r="F2627" t="s">
        <v>11</v>
      </c>
    </row>
    <row r="2628" spans="1:6" x14ac:dyDescent="0.25">
      <c r="A2628" t="str">
        <f>"73631451"</f>
        <v>73631451</v>
      </c>
      <c r="B2628" t="s">
        <v>2809</v>
      </c>
      <c r="C2628" t="s">
        <v>43</v>
      </c>
      <c r="D2628" t="str">
        <f t="shared" si="94"/>
        <v>556904</v>
      </c>
      <c r="E2628" t="s">
        <v>2186</v>
      </c>
      <c r="F2628" t="s">
        <v>44</v>
      </c>
    </row>
    <row r="2629" spans="1:6" x14ac:dyDescent="0.25">
      <c r="A2629" t="str">
        <f>"44224087"</f>
        <v>44224087</v>
      </c>
      <c r="B2629" t="s">
        <v>2810</v>
      </c>
      <c r="C2629" t="s">
        <v>7</v>
      </c>
      <c r="D2629" t="str">
        <f t="shared" si="94"/>
        <v>556904</v>
      </c>
      <c r="E2629" t="s">
        <v>2186</v>
      </c>
      <c r="F2629" t="s">
        <v>9</v>
      </c>
    </row>
    <row r="2630" spans="1:6" x14ac:dyDescent="0.25">
      <c r="A2630" t="str">
        <f>"07993358"</f>
        <v>07993358</v>
      </c>
      <c r="B2630" t="s">
        <v>2811</v>
      </c>
      <c r="C2630" t="s">
        <v>7</v>
      </c>
      <c r="D2630" t="str">
        <f t="shared" si="94"/>
        <v>556904</v>
      </c>
      <c r="E2630" t="s">
        <v>2186</v>
      </c>
      <c r="F2630" t="s">
        <v>11</v>
      </c>
    </row>
    <row r="2631" spans="1:6" x14ac:dyDescent="0.25">
      <c r="A2631" t="str">
        <f>"14113449"</f>
        <v>14113449</v>
      </c>
      <c r="B2631" t="s">
        <v>2812</v>
      </c>
      <c r="C2631" t="s">
        <v>7</v>
      </c>
      <c r="D2631" t="str">
        <f t="shared" si="94"/>
        <v>556904</v>
      </c>
      <c r="E2631" t="s">
        <v>2186</v>
      </c>
      <c r="F2631" t="s">
        <v>35</v>
      </c>
    </row>
    <row r="2632" spans="1:6" x14ac:dyDescent="0.25">
      <c r="A2632" t="str">
        <f>"04161971"</f>
        <v>04161971</v>
      </c>
      <c r="B2632" t="s">
        <v>2813</v>
      </c>
      <c r="C2632" t="s">
        <v>7</v>
      </c>
      <c r="D2632" t="str">
        <f t="shared" si="94"/>
        <v>556904</v>
      </c>
      <c r="E2632" t="s">
        <v>2186</v>
      </c>
      <c r="F2632" t="s">
        <v>11</v>
      </c>
    </row>
    <row r="2633" spans="1:6" x14ac:dyDescent="0.25">
      <c r="A2633" t="str">
        <f>"07665024"</f>
        <v>07665024</v>
      </c>
      <c r="B2633" t="s">
        <v>2814</v>
      </c>
      <c r="C2633" t="s">
        <v>7</v>
      </c>
      <c r="D2633" t="str">
        <f t="shared" si="94"/>
        <v>556904</v>
      </c>
      <c r="E2633" t="s">
        <v>2186</v>
      </c>
      <c r="F2633" t="s">
        <v>11</v>
      </c>
    </row>
    <row r="2634" spans="1:6" x14ac:dyDescent="0.25">
      <c r="A2634" t="str">
        <f>"70693978"</f>
        <v>70693978</v>
      </c>
      <c r="B2634" t="s">
        <v>2815</v>
      </c>
      <c r="C2634" t="s">
        <v>7</v>
      </c>
      <c r="D2634" t="str">
        <f t="shared" si="94"/>
        <v>556904</v>
      </c>
      <c r="E2634" t="s">
        <v>2186</v>
      </c>
      <c r="F2634" t="s">
        <v>11</v>
      </c>
    </row>
    <row r="2635" spans="1:6" x14ac:dyDescent="0.25">
      <c r="A2635" t="str">
        <f>"65100689"</f>
        <v>65100689</v>
      </c>
      <c r="B2635" t="s">
        <v>2816</v>
      </c>
      <c r="C2635" t="s">
        <v>15</v>
      </c>
      <c r="D2635" t="str">
        <f t="shared" si="94"/>
        <v>556904</v>
      </c>
      <c r="E2635" t="s">
        <v>2186</v>
      </c>
      <c r="F2635" t="s">
        <v>11</v>
      </c>
    </row>
    <row r="2636" spans="1:6" x14ac:dyDescent="0.25">
      <c r="A2636" t="str">
        <f>"14342863"</f>
        <v>14342863</v>
      </c>
      <c r="B2636" t="s">
        <v>2817</v>
      </c>
      <c r="C2636" t="s">
        <v>7</v>
      </c>
      <c r="D2636" t="str">
        <f t="shared" si="94"/>
        <v>556904</v>
      </c>
      <c r="E2636" t="s">
        <v>2186</v>
      </c>
      <c r="F2636" t="s">
        <v>11</v>
      </c>
    </row>
    <row r="2637" spans="1:6" x14ac:dyDescent="0.25">
      <c r="A2637" t="str">
        <f>"64039412"</f>
        <v>64039412</v>
      </c>
      <c r="B2637" t="s">
        <v>2818</v>
      </c>
      <c r="C2637" t="s">
        <v>7</v>
      </c>
      <c r="D2637" t="str">
        <f t="shared" si="94"/>
        <v>556904</v>
      </c>
      <c r="E2637" t="s">
        <v>2186</v>
      </c>
      <c r="F2637" t="s">
        <v>9</v>
      </c>
    </row>
    <row r="2638" spans="1:6" x14ac:dyDescent="0.25">
      <c r="A2638" t="str">
        <f>"25406108"</f>
        <v>25406108</v>
      </c>
      <c r="B2638" t="s">
        <v>2819</v>
      </c>
      <c r="C2638" t="s">
        <v>78</v>
      </c>
      <c r="D2638" t="str">
        <f t="shared" si="94"/>
        <v>556904</v>
      </c>
      <c r="E2638" t="s">
        <v>2186</v>
      </c>
      <c r="F2638" t="s">
        <v>65</v>
      </c>
    </row>
    <row r="2639" spans="1:6" x14ac:dyDescent="0.25">
      <c r="A2639" t="str">
        <f>"17843014"</f>
        <v>17843014</v>
      </c>
      <c r="B2639" t="s">
        <v>2820</v>
      </c>
      <c r="C2639" t="s">
        <v>27</v>
      </c>
      <c r="D2639" t="str">
        <f t="shared" si="94"/>
        <v>556904</v>
      </c>
      <c r="E2639" t="s">
        <v>2186</v>
      </c>
      <c r="F2639" t="s">
        <v>18</v>
      </c>
    </row>
    <row r="2640" spans="1:6" x14ac:dyDescent="0.25">
      <c r="A2640" t="str">
        <f>"26983478"</f>
        <v>26983478</v>
      </c>
      <c r="B2640" t="s">
        <v>2821</v>
      </c>
      <c r="C2640" t="s">
        <v>7</v>
      </c>
      <c r="D2640" t="str">
        <f t="shared" si="94"/>
        <v>556904</v>
      </c>
      <c r="E2640" t="s">
        <v>2186</v>
      </c>
      <c r="F2640" t="s">
        <v>11</v>
      </c>
    </row>
    <row r="2641" spans="1:6" x14ac:dyDescent="0.25">
      <c r="A2641" t="str">
        <f>"21352551"</f>
        <v>21352551</v>
      </c>
      <c r="B2641" t="s">
        <v>2822</v>
      </c>
      <c r="C2641" t="s">
        <v>7</v>
      </c>
      <c r="D2641" t="str">
        <f t="shared" si="94"/>
        <v>556904</v>
      </c>
      <c r="E2641" t="s">
        <v>2186</v>
      </c>
      <c r="F2641" t="s">
        <v>139</v>
      </c>
    </row>
    <row r="2642" spans="1:6" x14ac:dyDescent="0.25">
      <c r="A2642" t="str">
        <f>"01953338"</f>
        <v>01953338</v>
      </c>
      <c r="B2642" t="s">
        <v>2823</v>
      </c>
      <c r="C2642" t="s">
        <v>78</v>
      </c>
      <c r="D2642" t="str">
        <f t="shared" si="94"/>
        <v>556904</v>
      </c>
      <c r="E2642" t="s">
        <v>2186</v>
      </c>
      <c r="F2642" t="s">
        <v>11</v>
      </c>
    </row>
    <row r="2643" spans="1:6" x14ac:dyDescent="0.25">
      <c r="A2643" t="str">
        <f>"01952901"</f>
        <v>01952901</v>
      </c>
      <c r="B2643" t="s">
        <v>2824</v>
      </c>
      <c r="C2643" t="s">
        <v>78</v>
      </c>
      <c r="D2643" t="str">
        <f t="shared" si="94"/>
        <v>556904</v>
      </c>
      <c r="E2643" t="s">
        <v>2186</v>
      </c>
      <c r="F2643" t="s">
        <v>40</v>
      </c>
    </row>
    <row r="2644" spans="1:6" x14ac:dyDescent="0.25">
      <c r="A2644" t="str">
        <f>"28744497"</f>
        <v>28744497</v>
      </c>
      <c r="B2644" t="s">
        <v>2825</v>
      </c>
      <c r="C2644" t="s">
        <v>78</v>
      </c>
      <c r="D2644" t="str">
        <f t="shared" si="94"/>
        <v>556904</v>
      </c>
      <c r="E2644" t="s">
        <v>2186</v>
      </c>
      <c r="F2644" t="s">
        <v>2392</v>
      </c>
    </row>
    <row r="2645" spans="1:6" x14ac:dyDescent="0.25">
      <c r="A2645" t="str">
        <f>"04260724"</f>
        <v>04260724</v>
      </c>
      <c r="B2645" t="s">
        <v>2826</v>
      </c>
      <c r="C2645" t="s">
        <v>7</v>
      </c>
      <c r="D2645" t="str">
        <f t="shared" si="94"/>
        <v>556904</v>
      </c>
      <c r="E2645" t="s">
        <v>2186</v>
      </c>
      <c r="F2645" t="s">
        <v>29</v>
      </c>
    </row>
    <row r="2646" spans="1:6" x14ac:dyDescent="0.25">
      <c r="A2646" t="str">
        <f>"07704381"</f>
        <v>07704381</v>
      </c>
      <c r="B2646" t="s">
        <v>2827</v>
      </c>
      <c r="C2646" t="s">
        <v>7</v>
      </c>
      <c r="D2646" t="str">
        <f t="shared" si="94"/>
        <v>556904</v>
      </c>
      <c r="E2646" t="s">
        <v>2186</v>
      </c>
      <c r="F2646" t="s">
        <v>35</v>
      </c>
    </row>
    <row r="2647" spans="1:6" x14ac:dyDescent="0.25">
      <c r="A2647" t="str">
        <f>"07653123"</f>
        <v>07653123</v>
      </c>
      <c r="B2647" t="s">
        <v>2828</v>
      </c>
      <c r="C2647" t="s">
        <v>7</v>
      </c>
      <c r="D2647" t="str">
        <f t="shared" si="94"/>
        <v>556904</v>
      </c>
      <c r="E2647" t="s">
        <v>2186</v>
      </c>
      <c r="F2647" t="s">
        <v>62</v>
      </c>
    </row>
    <row r="2648" spans="1:6" x14ac:dyDescent="0.25">
      <c r="A2648" t="str">
        <f>"01749099"</f>
        <v>01749099</v>
      </c>
      <c r="B2648" t="s">
        <v>2829</v>
      </c>
      <c r="C2648" t="s">
        <v>7</v>
      </c>
      <c r="D2648" t="str">
        <f t="shared" si="94"/>
        <v>556904</v>
      </c>
      <c r="E2648" t="s">
        <v>2186</v>
      </c>
      <c r="F2648" t="s">
        <v>62</v>
      </c>
    </row>
    <row r="2649" spans="1:6" x14ac:dyDescent="0.25">
      <c r="A2649" t="str">
        <f>"27017281"</f>
        <v>27017281</v>
      </c>
      <c r="B2649" t="s">
        <v>2830</v>
      </c>
      <c r="C2649" t="s">
        <v>7</v>
      </c>
      <c r="D2649" t="str">
        <f t="shared" si="94"/>
        <v>556904</v>
      </c>
      <c r="E2649" t="s">
        <v>2186</v>
      </c>
      <c r="F2649" t="s">
        <v>11</v>
      </c>
    </row>
    <row r="2650" spans="1:6" x14ac:dyDescent="0.25">
      <c r="A2650" t="str">
        <f>"26644771"</f>
        <v>26644771</v>
      </c>
      <c r="B2650" t="s">
        <v>2831</v>
      </c>
      <c r="C2650" t="s">
        <v>7</v>
      </c>
      <c r="D2650" t="str">
        <f t="shared" si="94"/>
        <v>556904</v>
      </c>
      <c r="E2650" t="s">
        <v>2186</v>
      </c>
      <c r="F2650" t="s">
        <v>11</v>
      </c>
    </row>
    <row r="2651" spans="1:6" x14ac:dyDescent="0.25">
      <c r="A2651" t="str">
        <f>"22871659"</f>
        <v>22871659</v>
      </c>
      <c r="B2651" t="s">
        <v>2832</v>
      </c>
      <c r="C2651" t="s">
        <v>7</v>
      </c>
      <c r="D2651" t="str">
        <f t="shared" si="94"/>
        <v>556904</v>
      </c>
      <c r="E2651" t="s">
        <v>2186</v>
      </c>
      <c r="F2651" t="s">
        <v>11</v>
      </c>
    </row>
    <row r="2652" spans="1:6" x14ac:dyDescent="0.25">
      <c r="A2652" t="str">
        <f>"03855546"</f>
        <v>03855546</v>
      </c>
      <c r="B2652" t="s">
        <v>2833</v>
      </c>
      <c r="C2652" t="s">
        <v>7</v>
      </c>
      <c r="D2652" t="str">
        <f t="shared" si="94"/>
        <v>556904</v>
      </c>
      <c r="E2652" t="s">
        <v>2186</v>
      </c>
      <c r="F2652" t="s">
        <v>35</v>
      </c>
    </row>
    <row r="2653" spans="1:6" x14ac:dyDescent="0.25">
      <c r="A2653" t="str">
        <f>"26617323"</f>
        <v>26617323</v>
      </c>
      <c r="B2653" t="s">
        <v>2834</v>
      </c>
      <c r="C2653" t="s">
        <v>7</v>
      </c>
      <c r="D2653" t="str">
        <f t="shared" si="94"/>
        <v>556904</v>
      </c>
      <c r="E2653" t="s">
        <v>2186</v>
      </c>
      <c r="F2653" t="s">
        <v>11</v>
      </c>
    </row>
    <row r="2654" spans="1:6" x14ac:dyDescent="0.25">
      <c r="A2654" t="str">
        <f>"26583429"</f>
        <v>26583429</v>
      </c>
      <c r="B2654" t="s">
        <v>2835</v>
      </c>
      <c r="C2654" t="s">
        <v>7</v>
      </c>
      <c r="D2654" t="str">
        <f t="shared" si="94"/>
        <v>556904</v>
      </c>
      <c r="E2654" t="s">
        <v>2186</v>
      </c>
      <c r="F2654" t="s">
        <v>9</v>
      </c>
    </row>
    <row r="2655" spans="1:6" x14ac:dyDescent="0.25">
      <c r="A2655" t="str">
        <f>"22183841"</f>
        <v>22183841</v>
      </c>
      <c r="B2655" t="s">
        <v>2836</v>
      </c>
      <c r="C2655" t="s">
        <v>7</v>
      </c>
      <c r="D2655" t="str">
        <f t="shared" si="94"/>
        <v>556904</v>
      </c>
      <c r="E2655" t="s">
        <v>2186</v>
      </c>
      <c r="F2655" t="s">
        <v>29</v>
      </c>
    </row>
    <row r="2656" spans="1:6" x14ac:dyDescent="0.25">
      <c r="A2656" t="str">
        <f>"25405276"</f>
        <v>25405276</v>
      </c>
      <c r="B2656" t="s">
        <v>2837</v>
      </c>
      <c r="C2656" t="s">
        <v>78</v>
      </c>
      <c r="D2656" t="str">
        <f t="shared" si="94"/>
        <v>556904</v>
      </c>
      <c r="E2656" t="s">
        <v>2186</v>
      </c>
      <c r="F2656" t="s">
        <v>1646</v>
      </c>
    </row>
    <row r="2657" spans="1:6" x14ac:dyDescent="0.25">
      <c r="A2657" t="str">
        <f>"07934335"</f>
        <v>07934335</v>
      </c>
      <c r="B2657" t="s">
        <v>2838</v>
      </c>
      <c r="C2657" t="s">
        <v>27</v>
      </c>
      <c r="D2657" t="str">
        <f t="shared" si="94"/>
        <v>556904</v>
      </c>
      <c r="E2657" t="s">
        <v>2186</v>
      </c>
      <c r="F2657" t="s">
        <v>2839</v>
      </c>
    </row>
    <row r="2658" spans="1:6" x14ac:dyDescent="0.25">
      <c r="A2658" t="str">
        <f>"07721145"</f>
        <v>07721145</v>
      </c>
      <c r="B2658" t="s">
        <v>2840</v>
      </c>
      <c r="C2658" t="s">
        <v>7</v>
      </c>
      <c r="D2658" t="str">
        <f t="shared" si="94"/>
        <v>556904</v>
      </c>
      <c r="E2658" t="s">
        <v>2186</v>
      </c>
      <c r="F2658" t="s">
        <v>11</v>
      </c>
    </row>
    <row r="2659" spans="1:6" x14ac:dyDescent="0.25">
      <c r="A2659" t="str">
        <f>"68429223"</f>
        <v>68429223</v>
      </c>
      <c r="B2659" t="s">
        <v>2841</v>
      </c>
      <c r="C2659" t="s">
        <v>7</v>
      </c>
      <c r="D2659" t="str">
        <f t="shared" si="94"/>
        <v>556904</v>
      </c>
      <c r="E2659" t="s">
        <v>2186</v>
      </c>
      <c r="F2659" t="s">
        <v>11</v>
      </c>
    </row>
    <row r="2660" spans="1:6" x14ac:dyDescent="0.25">
      <c r="A2660" t="str">
        <f>"01989251"</f>
        <v>01989251</v>
      </c>
      <c r="B2660" t="s">
        <v>2842</v>
      </c>
      <c r="C2660" t="s">
        <v>7</v>
      </c>
      <c r="D2660" t="str">
        <f t="shared" si="94"/>
        <v>556904</v>
      </c>
      <c r="E2660" t="s">
        <v>2186</v>
      </c>
      <c r="F2660" t="s">
        <v>11</v>
      </c>
    </row>
    <row r="2661" spans="1:6" x14ac:dyDescent="0.25">
      <c r="A2661" t="str">
        <f>"01679198"</f>
        <v>01679198</v>
      </c>
      <c r="B2661" t="s">
        <v>2843</v>
      </c>
      <c r="C2661" t="s">
        <v>7</v>
      </c>
      <c r="D2661" t="str">
        <f t="shared" si="94"/>
        <v>556904</v>
      </c>
      <c r="E2661" t="s">
        <v>2186</v>
      </c>
      <c r="F2661" t="s">
        <v>11</v>
      </c>
    </row>
    <row r="2662" spans="1:6" x14ac:dyDescent="0.25">
      <c r="A2662" t="str">
        <f>"69898421"</f>
        <v>69898421</v>
      </c>
      <c r="B2662" t="s">
        <v>2844</v>
      </c>
      <c r="C2662" t="s">
        <v>7</v>
      </c>
      <c r="D2662" t="str">
        <f t="shared" si="94"/>
        <v>556904</v>
      </c>
      <c r="E2662" t="s">
        <v>2186</v>
      </c>
      <c r="F2662" t="s">
        <v>254</v>
      </c>
    </row>
    <row r="2663" spans="1:6" x14ac:dyDescent="0.25">
      <c r="A2663" t="str">
        <f>"22335421"</f>
        <v>22335421</v>
      </c>
      <c r="B2663" t="s">
        <v>2845</v>
      </c>
      <c r="C2663" t="s">
        <v>7</v>
      </c>
      <c r="D2663" t="str">
        <f t="shared" si="94"/>
        <v>556904</v>
      </c>
      <c r="E2663" t="s">
        <v>2186</v>
      </c>
      <c r="F2663" t="s">
        <v>11</v>
      </c>
    </row>
    <row r="2664" spans="1:6" x14ac:dyDescent="0.25">
      <c r="A2664" t="str">
        <f>"27267890"</f>
        <v>27267890</v>
      </c>
      <c r="B2664" t="s">
        <v>2846</v>
      </c>
      <c r="C2664" t="s">
        <v>78</v>
      </c>
      <c r="D2664" t="str">
        <f t="shared" ref="D2664:D2727" si="95">"556904"</f>
        <v>556904</v>
      </c>
      <c r="E2664" t="s">
        <v>2186</v>
      </c>
      <c r="F2664" t="s">
        <v>2115</v>
      </c>
    </row>
    <row r="2665" spans="1:6" x14ac:dyDescent="0.25">
      <c r="A2665" t="str">
        <f>"68436131"</f>
        <v>68436131</v>
      </c>
      <c r="B2665" t="s">
        <v>2847</v>
      </c>
      <c r="C2665" t="s">
        <v>7</v>
      </c>
      <c r="D2665" t="str">
        <f t="shared" si="95"/>
        <v>556904</v>
      </c>
      <c r="E2665" t="s">
        <v>2186</v>
      </c>
      <c r="F2665" t="s">
        <v>11</v>
      </c>
    </row>
    <row r="2666" spans="1:6" x14ac:dyDescent="0.25">
      <c r="A2666" t="str">
        <f>"14302993"</f>
        <v>14302993</v>
      </c>
      <c r="B2666" t="s">
        <v>2848</v>
      </c>
      <c r="C2666" t="s">
        <v>27</v>
      </c>
      <c r="D2666" t="str">
        <f t="shared" si="95"/>
        <v>556904</v>
      </c>
      <c r="E2666" t="s">
        <v>2186</v>
      </c>
      <c r="F2666" t="s">
        <v>11</v>
      </c>
    </row>
    <row r="2667" spans="1:6" x14ac:dyDescent="0.25">
      <c r="A2667" t="str">
        <f>"68975261"</f>
        <v>68975261</v>
      </c>
      <c r="B2667" t="s">
        <v>2849</v>
      </c>
      <c r="C2667" t="s">
        <v>7</v>
      </c>
      <c r="D2667" t="str">
        <f t="shared" si="95"/>
        <v>556904</v>
      </c>
      <c r="E2667" t="s">
        <v>2186</v>
      </c>
      <c r="F2667" t="s">
        <v>11</v>
      </c>
    </row>
    <row r="2668" spans="1:6" x14ac:dyDescent="0.25">
      <c r="A2668" t="str">
        <f>"25405080"</f>
        <v>25405080</v>
      </c>
      <c r="B2668" t="s">
        <v>2850</v>
      </c>
      <c r="C2668" t="s">
        <v>78</v>
      </c>
      <c r="D2668" t="str">
        <f t="shared" si="95"/>
        <v>556904</v>
      </c>
      <c r="E2668" t="s">
        <v>2186</v>
      </c>
      <c r="F2668" t="s">
        <v>268</v>
      </c>
    </row>
    <row r="2669" spans="1:6" x14ac:dyDescent="0.25">
      <c r="A2669" t="str">
        <f>"26668661"</f>
        <v>26668661</v>
      </c>
      <c r="B2669" t="s">
        <v>2851</v>
      </c>
      <c r="C2669" t="s">
        <v>7</v>
      </c>
      <c r="D2669" t="str">
        <f t="shared" si="95"/>
        <v>556904</v>
      </c>
      <c r="E2669" t="s">
        <v>2186</v>
      </c>
      <c r="F2669" t="s">
        <v>11</v>
      </c>
    </row>
    <row r="2670" spans="1:6" x14ac:dyDescent="0.25">
      <c r="A2670" t="str">
        <f>"21168415"</f>
        <v>21168415</v>
      </c>
      <c r="B2670" t="s">
        <v>2852</v>
      </c>
      <c r="C2670" t="s">
        <v>27</v>
      </c>
      <c r="D2670" t="str">
        <f t="shared" si="95"/>
        <v>556904</v>
      </c>
      <c r="E2670" t="s">
        <v>2186</v>
      </c>
      <c r="F2670" t="s">
        <v>11</v>
      </c>
    </row>
    <row r="2671" spans="1:6" x14ac:dyDescent="0.25">
      <c r="A2671" t="str">
        <f>"26531747"</f>
        <v>26531747</v>
      </c>
      <c r="B2671" t="s">
        <v>2853</v>
      </c>
      <c r="C2671" t="s">
        <v>7</v>
      </c>
      <c r="D2671" t="str">
        <f t="shared" si="95"/>
        <v>556904</v>
      </c>
      <c r="E2671" t="s">
        <v>2186</v>
      </c>
      <c r="F2671" t="s">
        <v>11</v>
      </c>
    </row>
    <row r="2672" spans="1:6" x14ac:dyDescent="0.25">
      <c r="A2672" t="str">
        <f>"06345395"</f>
        <v>06345395</v>
      </c>
      <c r="B2672" t="s">
        <v>2854</v>
      </c>
      <c r="C2672" t="s">
        <v>7</v>
      </c>
      <c r="D2672" t="str">
        <f t="shared" si="95"/>
        <v>556904</v>
      </c>
      <c r="E2672" t="s">
        <v>2186</v>
      </c>
      <c r="F2672" t="s">
        <v>11</v>
      </c>
    </row>
    <row r="2673" spans="1:6" x14ac:dyDescent="0.25">
      <c r="A2673" t="str">
        <f>"28552661"</f>
        <v>28552661</v>
      </c>
      <c r="B2673" t="s">
        <v>2855</v>
      </c>
      <c r="C2673" t="s">
        <v>7</v>
      </c>
      <c r="D2673" t="str">
        <f t="shared" si="95"/>
        <v>556904</v>
      </c>
      <c r="E2673" t="s">
        <v>2186</v>
      </c>
      <c r="F2673" t="s">
        <v>13</v>
      </c>
    </row>
    <row r="2674" spans="1:6" x14ac:dyDescent="0.25">
      <c r="A2674" t="str">
        <f>"70828946"</f>
        <v>70828946</v>
      </c>
      <c r="B2674" t="s">
        <v>2856</v>
      </c>
      <c r="C2674" t="s">
        <v>726</v>
      </c>
      <c r="D2674" t="str">
        <f t="shared" si="95"/>
        <v>556904</v>
      </c>
      <c r="E2674" t="s">
        <v>2186</v>
      </c>
      <c r="F2674" t="s">
        <v>389</v>
      </c>
    </row>
    <row r="2675" spans="1:6" x14ac:dyDescent="0.25">
      <c r="A2675" t="str">
        <f>"46745181"</f>
        <v>46745181</v>
      </c>
      <c r="B2675" t="s">
        <v>2857</v>
      </c>
      <c r="C2675" t="s">
        <v>7</v>
      </c>
      <c r="D2675" t="str">
        <f t="shared" si="95"/>
        <v>556904</v>
      </c>
      <c r="E2675" t="s">
        <v>2186</v>
      </c>
      <c r="F2675" t="s">
        <v>11</v>
      </c>
    </row>
    <row r="2676" spans="1:6" x14ac:dyDescent="0.25">
      <c r="A2676" t="str">
        <f>"08012172"</f>
        <v>08012172</v>
      </c>
      <c r="B2676" t="s">
        <v>2858</v>
      </c>
      <c r="C2676" t="s">
        <v>7</v>
      </c>
      <c r="D2676" t="str">
        <f t="shared" si="95"/>
        <v>556904</v>
      </c>
      <c r="E2676" t="s">
        <v>2186</v>
      </c>
      <c r="F2676" t="s">
        <v>1096</v>
      </c>
    </row>
    <row r="2677" spans="1:6" x14ac:dyDescent="0.25">
      <c r="A2677" t="str">
        <f>"05561167"</f>
        <v>05561167</v>
      </c>
      <c r="B2677" t="s">
        <v>2859</v>
      </c>
      <c r="C2677" t="s">
        <v>7</v>
      </c>
      <c r="D2677" t="str">
        <f t="shared" si="95"/>
        <v>556904</v>
      </c>
      <c r="E2677" t="s">
        <v>2186</v>
      </c>
      <c r="F2677" t="s">
        <v>11</v>
      </c>
    </row>
    <row r="2678" spans="1:6" x14ac:dyDescent="0.25">
      <c r="A2678" t="str">
        <f>"09014870"</f>
        <v>09014870</v>
      </c>
      <c r="B2678" t="s">
        <v>2860</v>
      </c>
      <c r="C2678" t="s">
        <v>7</v>
      </c>
      <c r="D2678" t="str">
        <f t="shared" si="95"/>
        <v>556904</v>
      </c>
      <c r="E2678" t="s">
        <v>2186</v>
      </c>
      <c r="F2678" t="s">
        <v>11</v>
      </c>
    </row>
    <row r="2679" spans="1:6" x14ac:dyDescent="0.25">
      <c r="A2679" t="str">
        <f>"19325801"</f>
        <v>19325801</v>
      </c>
      <c r="B2679" t="s">
        <v>2861</v>
      </c>
      <c r="C2679" t="s">
        <v>7</v>
      </c>
      <c r="D2679" t="str">
        <f t="shared" si="95"/>
        <v>556904</v>
      </c>
      <c r="E2679" t="s">
        <v>2186</v>
      </c>
      <c r="F2679" t="s">
        <v>139</v>
      </c>
    </row>
    <row r="2680" spans="1:6" x14ac:dyDescent="0.25">
      <c r="A2680" t="str">
        <f>"73632341"</f>
        <v>73632341</v>
      </c>
      <c r="B2680" t="s">
        <v>2862</v>
      </c>
      <c r="C2680" t="s">
        <v>43</v>
      </c>
      <c r="D2680" t="str">
        <f t="shared" si="95"/>
        <v>556904</v>
      </c>
      <c r="E2680" t="s">
        <v>2186</v>
      </c>
      <c r="F2680" t="s">
        <v>44</v>
      </c>
    </row>
    <row r="2681" spans="1:6" x14ac:dyDescent="0.25">
      <c r="A2681" t="str">
        <f>"08398500"</f>
        <v>08398500</v>
      </c>
      <c r="B2681" t="s">
        <v>2863</v>
      </c>
      <c r="C2681" t="s">
        <v>7</v>
      </c>
      <c r="D2681" t="str">
        <f t="shared" si="95"/>
        <v>556904</v>
      </c>
      <c r="E2681" t="s">
        <v>2186</v>
      </c>
      <c r="F2681" t="s">
        <v>11</v>
      </c>
    </row>
    <row r="2682" spans="1:6" x14ac:dyDescent="0.25">
      <c r="A2682" t="str">
        <f>"46744878"</f>
        <v>46744878</v>
      </c>
      <c r="B2682" t="s">
        <v>2864</v>
      </c>
      <c r="C2682" t="s">
        <v>20</v>
      </c>
      <c r="D2682" t="str">
        <f t="shared" si="95"/>
        <v>556904</v>
      </c>
      <c r="E2682" t="s">
        <v>2186</v>
      </c>
      <c r="F2682" t="s">
        <v>21</v>
      </c>
    </row>
    <row r="2683" spans="1:6" x14ac:dyDescent="0.25">
      <c r="A2683" t="str">
        <f>"70582882"</f>
        <v>70582882</v>
      </c>
      <c r="B2683" t="s">
        <v>2865</v>
      </c>
      <c r="C2683" t="s">
        <v>20</v>
      </c>
      <c r="D2683" t="str">
        <f t="shared" si="95"/>
        <v>556904</v>
      </c>
      <c r="E2683" t="s">
        <v>2186</v>
      </c>
      <c r="F2683" t="s">
        <v>21</v>
      </c>
    </row>
    <row r="2684" spans="1:6" x14ac:dyDescent="0.25">
      <c r="A2684" t="str">
        <f>"27000605"</f>
        <v>27000605</v>
      </c>
      <c r="B2684" t="s">
        <v>2866</v>
      </c>
      <c r="C2684" t="s">
        <v>7</v>
      </c>
      <c r="D2684" t="str">
        <f t="shared" si="95"/>
        <v>556904</v>
      </c>
      <c r="E2684" t="s">
        <v>2186</v>
      </c>
      <c r="F2684" t="s">
        <v>11</v>
      </c>
    </row>
    <row r="2685" spans="1:6" x14ac:dyDescent="0.25">
      <c r="A2685" t="str">
        <f>"02009552"</f>
        <v>02009552</v>
      </c>
      <c r="B2685" t="s">
        <v>2867</v>
      </c>
      <c r="C2685" t="s">
        <v>7</v>
      </c>
      <c r="D2685" t="str">
        <f t="shared" si="95"/>
        <v>556904</v>
      </c>
      <c r="E2685" t="s">
        <v>2186</v>
      </c>
      <c r="F2685" t="s">
        <v>11</v>
      </c>
    </row>
    <row r="2686" spans="1:6" x14ac:dyDescent="0.25">
      <c r="A2686" t="str">
        <f>"04955773"</f>
        <v>04955773</v>
      </c>
      <c r="B2686" t="s">
        <v>2868</v>
      </c>
      <c r="C2686" t="s">
        <v>27</v>
      </c>
      <c r="D2686" t="str">
        <f t="shared" si="95"/>
        <v>556904</v>
      </c>
      <c r="E2686" t="s">
        <v>2186</v>
      </c>
      <c r="F2686" t="s">
        <v>11</v>
      </c>
    </row>
    <row r="2687" spans="1:6" x14ac:dyDescent="0.25">
      <c r="A2687" t="str">
        <f>"01176617"</f>
        <v>01176617</v>
      </c>
      <c r="B2687" t="s">
        <v>2869</v>
      </c>
      <c r="C2687" t="s">
        <v>15</v>
      </c>
      <c r="D2687" t="str">
        <f t="shared" si="95"/>
        <v>556904</v>
      </c>
      <c r="E2687" t="s">
        <v>2186</v>
      </c>
      <c r="F2687" t="s">
        <v>18</v>
      </c>
    </row>
    <row r="2688" spans="1:6" x14ac:dyDescent="0.25">
      <c r="A2688" t="str">
        <f>"25949578"</f>
        <v>25949578</v>
      </c>
      <c r="B2688" t="s">
        <v>2870</v>
      </c>
      <c r="C2688" t="s">
        <v>78</v>
      </c>
      <c r="D2688" t="str">
        <f t="shared" si="95"/>
        <v>556904</v>
      </c>
      <c r="E2688" t="s">
        <v>2186</v>
      </c>
      <c r="F2688" t="s">
        <v>326</v>
      </c>
    </row>
    <row r="2689" spans="1:6" x14ac:dyDescent="0.25">
      <c r="A2689" t="str">
        <f>"71154850"</f>
        <v>71154850</v>
      </c>
      <c r="B2689" t="s">
        <v>2871</v>
      </c>
      <c r="C2689" t="s">
        <v>15</v>
      </c>
      <c r="D2689" t="str">
        <f t="shared" si="95"/>
        <v>556904</v>
      </c>
      <c r="E2689" t="s">
        <v>2186</v>
      </c>
      <c r="F2689" t="s">
        <v>11</v>
      </c>
    </row>
    <row r="2690" spans="1:6" x14ac:dyDescent="0.25">
      <c r="A2690" t="str">
        <f>"17057833"</f>
        <v>17057833</v>
      </c>
      <c r="B2690" t="s">
        <v>2872</v>
      </c>
      <c r="C2690" t="s">
        <v>7</v>
      </c>
      <c r="D2690" t="str">
        <f t="shared" si="95"/>
        <v>556904</v>
      </c>
      <c r="E2690" t="s">
        <v>2186</v>
      </c>
      <c r="F2690" t="s">
        <v>29</v>
      </c>
    </row>
    <row r="2691" spans="1:6" x14ac:dyDescent="0.25">
      <c r="A2691" t="str">
        <f>"46746072"</f>
        <v>46746072</v>
      </c>
      <c r="B2691" t="s">
        <v>2873</v>
      </c>
      <c r="C2691" t="s">
        <v>7</v>
      </c>
      <c r="D2691" t="str">
        <f t="shared" si="95"/>
        <v>556904</v>
      </c>
      <c r="E2691" t="s">
        <v>2186</v>
      </c>
      <c r="F2691" t="s">
        <v>9</v>
      </c>
    </row>
    <row r="2692" spans="1:6" x14ac:dyDescent="0.25">
      <c r="A2692" t="str">
        <f>"02492385"</f>
        <v>02492385</v>
      </c>
      <c r="B2692" t="s">
        <v>2874</v>
      </c>
      <c r="C2692" t="s">
        <v>7</v>
      </c>
      <c r="D2692" t="str">
        <f t="shared" si="95"/>
        <v>556904</v>
      </c>
      <c r="E2692" t="s">
        <v>2186</v>
      </c>
      <c r="F2692" t="s">
        <v>18</v>
      </c>
    </row>
    <row r="2693" spans="1:6" x14ac:dyDescent="0.25">
      <c r="A2693" t="str">
        <f>"26648016"</f>
        <v>26648016</v>
      </c>
      <c r="B2693" t="s">
        <v>2875</v>
      </c>
      <c r="C2693" t="s">
        <v>7</v>
      </c>
      <c r="D2693" t="str">
        <f t="shared" si="95"/>
        <v>556904</v>
      </c>
      <c r="E2693" t="s">
        <v>2186</v>
      </c>
      <c r="F2693" t="s">
        <v>11</v>
      </c>
    </row>
    <row r="2694" spans="1:6" x14ac:dyDescent="0.25">
      <c r="A2694" t="str">
        <f>"02015803"</f>
        <v>02015803</v>
      </c>
      <c r="B2694" t="s">
        <v>2876</v>
      </c>
      <c r="C2694" t="s">
        <v>7</v>
      </c>
      <c r="D2694" t="str">
        <f t="shared" si="95"/>
        <v>556904</v>
      </c>
      <c r="E2694" t="s">
        <v>2186</v>
      </c>
      <c r="F2694" t="s">
        <v>11</v>
      </c>
    </row>
    <row r="2695" spans="1:6" x14ac:dyDescent="0.25">
      <c r="A2695" t="str">
        <f>"06274684"</f>
        <v>06274684</v>
      </c>
      <c r="B2695" t="s">
        <v>2877</v>
      </c>
      <c r="C2695" t="s">
        <v>7</v>
      </c>
      <c r="D2695" t="str">
        <f t="shared" si="95"/>
        <v>556904</v>
      </c>
      <c r="E2695" t="s">
        <v>2186</v>
      </c>
      <c r="F2695" t="s">
        <v>139</v>
      </c>
    </row>
    <row r="2696" spans="1:6" x14ac:dyDescent="0.25">
      <c r="A2696" t="str">
        <f>"26564912"</f>
        <v>26564912</v>
      </c>
      <c r="B2696" t="s">
        <v>2878</v>
      </c>
      <c r="C2696" t="s">
        <v>7</v>
      </c>
      <c r="D2696" t="str">
        <f t="shared" si="95"/>
        <v>556904</v>
      </c>
      <c r="E2696" t="s">
        <v>2186</v>
      </c>
      <c r="F2696" t="s">
        <v>29</v>
      </c>
    </row>
    <row r="2697" spans="1:6" x14ac:dyDescent="0.25">
      <c r="A2697" t="str">
        <f>"09298835"</f>
        <v>09298835</v>
      </c>
      <c r="B2697" t="s">
        <v>2879</v>
      </c>
      <c r="C2697" t="s">
        <v>7</v>
      </c>
      <c r="D2697" t="str">
        <f t="shared" si="95"/>
        <v>556904</v>
      </c>
      <c r="E2697" t="s">
        <v>2186</v>
      </c>
      <c r="F2697" t="s">
        <v>29</v>
      </c>
    </row>
    <row r="2698" spans="1:6" x14ac:dyDescent="0.25">
      <c r="A2698" t="str">
        <f>"01452690"</f>
        <v>01452690</v>
      </c>
      <c r="B2698" t="s">
        <v>2880</v>
      </c>
      <c r="C2698" t="s">
        <v>7</v>
      </c>
      <c r="D2698" t="str">
        <f t="shared" si="95"/>
        <v>556904</v>
      </c>
      <c r="E2698" t="s">
        <v>2186</v>
      </c>
      <c r="F2698" t="s">
        <v>29</v>
      </c>
    </row>
    <row r="2699" spans="1:6" x14ac:dyDescent="0.25">
      <c r="A2699" t="str">
        <f>"08411891"</f>
        <v>08411891</v>
      </c>
      <c r="B2699" t="s">
        <v>2881</v>
      </c>
      <c r="C2699" t="s">
        <v>15</v>
      </c>
      <c r="D2699" t="str">
        <f t="shared" si="95"/>
        <v>556904</v>
      </c>
      <c r="E2699" t="s">
        <v>2186</v>
      </c>
      <c r="F2699" t="s">
        <v>29</v>
      </c>
    </row>
    <row r="2700" spans="1:6" x14ac:dyDescent="0.25">
      <c r="A2700" t="str">
        <f>"06626432"</f>
        <v>06626432</v>
      </c>
      <c r="B2700" t="s">
        <v>2882</v>
      </c>
      <c r="C2700" t="s">
        <v>7</v>
      </c>
      <c r="D2700" t="str">
        <f t="shared" si="95"/>
        <v>556904</v>
      </c>
      <c r="E2700" t="s">
        <v>2186</v>
      </c>
      <c r="F2700" t="s">
        <v>29</v>
      </c>
    </row>
    <row r="2701" spans="1:6" x14ac:dyDescent="0.25">
      <c r="A2701" t="str">
        <f>"71203028"</f>
        <v>71203028</v>
      </c>
      <c r="B2701" t="s">
        <v>2883</v>
      </c>
      <c r="C2701" t="s">
        <v>15</v>
      </c>
      <c r="D2701" t="str">
        <f t="shared" si="95"/>
        <v>556904</v>
      </c>
      <c r="E2701" t="s">
        <v>2186</v>
      </c>
      <c r="F2701" t="s">
        <v>35</v>
      </c>
    </row>
    <row r="2702" spans="1:6" x14ac:dyDescent="0.25">
      <c r="A2702" t="str">
        <f>"22675281"</f>
        <v>22675281</v>
      </c>
      <c r="B2702" t="s">
        <v>2884</v>
      </c>
      <c r="C2702" t="s">
        <v>7</v>
      </c>
      <c r="D2702" t="str">
        <f t="shared" si="95"/>
        <v>556904</v>
      </c>
      <c r="E2702" t="s">
        <v>2186</v>
      </c>
      <c r="F2702" t="s">
        <v>11</v>
      </c>
    </row>
    <row r="2703" spans="1:6" x14ac:dyDescent="0.25">
      <c r="A2703" t="str">
        <f>"22718435"</f>
        <v>22718435</v>
      </c>
      <c r="B2703" t="s">
        <v>2885</v>
      </c>
      <c r="C2703" t="s">
        <v>7</v>
      </c>
      <c r="D2703" t="str">
        <f t="shared" si="95"/>
        <v>556904</v>
      </c>
      <c r="E2703" t="s">
        <v>2186</v>
      </c>
      <c r="F2703" t="s">
        <v>62</v>
      </c>
    </row>
    <row r="2704" spans="1:6" x14ac:dyDescent="0.25">
      <c r="A2704" t="str">
        <f>"26624354"</f>
        <v>26624354</v>
      </c>
      <c r="B2704" t="s">
        <v>2886</v>
      </c>
      <c r="C2704" t="s">
        <v>7</v>
      </c>
      <c r="D2704" t="str">
        <f t="shared" si="95"/>
        <v>556904</v>
      </c>
      <c r="E2704" t="s">
        <v>2186</v>
      </c>
      <c r="F2704" t="s">
        <v>38</v>
      </c>
    </row>
    <row r="2705" spans="1:6" x14ac:dyDescent="0.25">
      <c r="A2705" t="str">
        <f>"26611937"</f>
        <v>26611937</v>
      </c>
      <c r="B2705" t="s">
        <v>2887</v>
      </c>
      <c r="C2705" t="s">
        <v>7</v>
      </c>
      <c r="D2705" t="str">
        <f t="shared" si="95"/>
        <v>556904</v>
      </c>
      <c r="E2705" t="s">
        <v>2186</v>
      </c>
      <c r="F2705" t="s">
        <v>38</v>
      </c>
    </row>
    <row r="2706" spans="1:6" x14ac:dyDescent="0.25">
      <c r="A2706" t="str">
        <f>"26606348"</f>
        <v>26606348</v>
      </c>
      <c r="B2706" t="s">
        <v>2888</v>
      </c>
      <c r="C2706" t="s">
        <v>7</v>
      </c>
      <c r="D2706" t="str">
        <f t="shared" si="95"/>
        <v>556904</v>
      </c>
      <c r="E2706" t="s">
        <v>2186</v>
      </c>
      <c r="F2706" t="s">
        <v>38</v>
      </c>
    </row>
    <row r="2707" spans="1:6" x14ac:dyDescent="0.25">
      <c r="A2707" t="str">
        <f>"01843109"</f>
        <v>01843109</v>
      </c>
      <c r="B2707" t="s">
        <v>2889</v>
      </c>
      <c r="C2707" t="s">
        <v>7</v>
      </c>
      <c r="D2707" t="str">
        <f t="shared" si="95"/>
        <v>556904</v>
      </c>
      <c r="E2707" t="s">
        <v>2186</v>
      </c>
      <c r="F2707" t="s">
        <v>38</v>
      </c>
    </row>
    <row r="2708" spans="1:6" x14ac:dyDescent="0.25">
      <c r="A2708" t="str">
        <f>"26609703"</f>
        <v>26609703</v>
      </c>
      <c r="B2708" t="s">
        <v>2890</v>
      </c>
      <c r="C2708" t="s">
        <v>7</v>
      </c>
      <c r="D2708" t="str">
        <f t="shared" si="95"/>
        <v>556904</v>
      </c>
      <c r="E2708" t="s">
        <v>2186</v>
      </c>
      <c r="F2708" t="s">
        <v>38</v>
      </c>
    </row>
    <row r="2709" spans="1:6" x14ac:dyDescent="0.25">
      <c r="A2709" t="str">
        <f>"26615797"</f>
        <v>26615797</v>
      </c>
      <c r="B2709" t="s">
        <v>2891</v>
      </c>
      <c r="C2709" t="s">
        <v>7</v>
      </c>
      <c r="D2709" t="str">
        <f t="shared" si="95"/>
        <v>556904</v>
      </c>
      <c r="E2709" t="s">
        <v>2186</v>
      </c>
      <c r="F2709" t="s">
        <v>38</v>
      </c>
    </row>
    <row r="2710" spans="1:6" x14ac:dyDescent="0.25">
      <c r="A2710" t="str">
        <f>"01843265"</f>
        <v>01843265</v>
      </c>
      <c r="B2710" t="s">
        <v>2892</v>
      </c>
      <c r="C2710" t="s">
        <v>7</v>
      </c>
      <c r="D2710" t="str">
        <f t="shared" si="95"/>
        <v>556904</v>
      </c>
      <c r="E2710" t="s">
        <v>2186</v>
      </c>
      <c r="F2710" t="s">
        <v>38</v>
      </c>
    </row>
    <row r="2711" spans="1:6" x14ac:dyDescent="0.25">
      <c r="A2711" t="str">
        <f>"26552531"</f>
        <v>26552531</v>
      </c>
      <c r="B2711" t="s">
        <v>2893</v>
      </c>
      <c r="C2711" t="s">
        <v>7</v>
      </c>
      <c r="D2711" t="str">
        <f t="shared" si="95"/>
        <v>556904</v>
      </c>
      <c r="E2711" t="s">
        <v>2186</v>
      </c>
      <c r="F2711" t="s">
        <v>11</v>
      </c>
    </row>
    <row r="2712" spans="1:6" x14ac:dyDescent="0.25">
      <c r="A2712" t="str">
        <f>"06337066"</f>
        <v>06337066</v>
      </c>
      <c r="B2712" t="s">
        <v>2894</v>
      </c>
      <c r="C2712" t="s">
        <v>7</v>
      </c>
      <c r="D2712" t="str">
        <f t="shared" si="95"/>
        <v>556904</v>
      </c>
      <c r="E2712" t="s">
        <v>2186</v>
      </c>
      <c r="F2712" t="s">
        <v>11</v>
      </c>
    </row>
    <row r="2713" spans="1:6" x14ac:dyDescent="0.25">
      <c r="A2713" t="str">
        <f>"65635701"</f>
        <v>65635701</v>
      </c>
      <c r="B2713" t="s">
        <v>2895</v>
      </c>
      <c r="C2713" t="s">
        <v>7</v>
      </c>
      <c r="D2713" t="str">
        <f t="shared" si="95"/>
        <v>556904</v>
      </c>
      <c r="E2713" t="s">
        <v>2186</v>
      </c>
      <c r="F2713" t="s">
        <v>11</v>
      </c>
    </row>
    <row r="2714" spans="1:6" x14ac:dyDescent="0.25">
      <c r="A2714" t="str">
        <f>"68974574"</f>
        <v>68974574</v>
      </c>
      <c r="B2714" t="s">
        <v>2896</v>
      </c>
      <c r="C2714" t="s">
        <v>7</v>
      </c>
      <c r="D2714" t="str">
        <f t="shared" si="95"/>
        <v>556904</v>
      </c>
      <c r="E2714" t="s">
        <v>2186</v>
      </c>
      <c r="F2714" t="s">
        <v>11</v>
      </c>
    </row>
    <row r="2715" spans="1:6" x14ac:dyDescent="0.25">
      <c r="A2715" t="str">
        <f>"21986959"</f>
        <v>21986959</v>
      </c>
      <c r="B2715" t="s">
        <v>2897</v>
      </c>
      <c r="C2715" t="s">
        <v>7</v>
      </c>
      <c r="D2715" t="str">
        <f t="shared" si="95"/>
        <v>556904</v>
      </c>
      <c r="E2715" t="s">
        <v>2186</v>
      </c>
      <c r="F2715" t="s">
        <v>29</v>
      </c>
    </row>
    <row r="2716" spans="1:6" x14ac:dyDescent="0.25">
      <c r="A2716" t="str">
        <f>"01425820"</f>
        <v>01425820</v>
      </c>
      <c r="B2716" t="s">
        <v>2898</v>
      </c>
      <c r="C2716" t="s">
        <v>43</v>
      </c>
      <c r="D2716" t="str">
        <f t="shared" si="95"/>
        <v>556904</v>
      </c>
      <c r="E2716" t="s">
        <v>2186</v>
      </c>
      <c r="F2716" t="s">
        <v>44</v>
      </c>
    </row>
    <row r="2717" spans="1:6" x14ac:dyDescent="0.25">
      <c r="A2717" t="str">
        <f>"02964261"</f>
        <v>02964261</v>
      </c>
      <c r="B2717" t="s">
        <v>2899</v>
      </c>
      <c r="C2717" t="s">
        <v>7</v>
      </c>
      <c r="D2717" t="str">
        <f t="shared" si="95"/>
        <v>556904</v>
      </c>
      <c r="E2717" t="s">
        <v>2186</v>
      </c>
      <c r="F2717" t="s">
        <v>11</v>
      </c>
    </row>
    <row r="2718" spans="1:6" x14ac:dyDescent="0.25">
      <c r="A2718" t="str">
        <f>"01910671"</f>
        <v>01910671</v>
      </c>
      <c r="B2718" t="s">
        <v>2900</v>
      </c>
      <c r="C2718" t="s">
        <v>7</v>
      </c>
      <c r="D2718" t="str">
        <f t="shared" si="95"/>
        <v>556904</v>
      </c>
      <c r="E2718" t="s">
        <v>2186</v>
      </c>
      <c r="F2718" t="s">
        <v>38</v>
      </c>
    </row>
    <row r="2719" spans="1:6" x14ac:dyDescent="0.25">
      <c r="A2719" t="str">
        <f>"01961829"</f>
        <v>01961829</v>
      </c>
      <c r="B2719" t="s">
        <v>2901</v>
      </c>
      <c r="C2719" t="s">
        <v>7</v>
      </c>
      <c r="D2719" t="str">
        <f t="shared" si="95"/>
        <v>556904</v>
      </c>
      <c r="E2719" t="s">
        <v>2186</v>
      </c>
      <c r="F2719" t="s">
        <v>38</v>
      </c>
    </row>
    <row r="2720" spans="1:6" x14ac:dyDescent="0.25">
      <c r="A2720" t="str">
        <f>"65635451"</f>
        <v>65635451</v>
      </c>
      <c r="B2720" t="s">
        <v>2902</v>
      </c>
      <c r="C2720" t="s">
        <v>7</v>
      </c>
      <c r="D2720" t="str">
        <f t="shared" si="95"/>
        <v>556904</v>
      </c>
      <c r="E2720" t="s">
        <v>2186</v>
      </c>
      <c r="F2720" t="s">
        <v>38</v>
      </c>
    </row>
    <row r="2721" spans="1:6" x14ac:dyDescent="0.25">
      <c r="A2721" t="str">
        <f>"01679082"</f>
        <v>01679082</v>
      </c>
      <c r="B2721" t="s">
        <v>2903</v>
      </c>
      <c r="C2721" t="s">
        <v>7</v>
      </c>
      <c r="D2721" t="str">
        <f t="shared" si="95"/>
        <v>556904</v>
      </c>
      <c r="E2721" t="s">
        <v>2186</v>
      </c>
      <c r="F2721" t="s">
        <v>38</v>
      </c>
    </row>
    <row r="2722" spans="1:6" x14ac:dyDescent="0.25">
      <c r="A2722" t="str">
        <f>"01903161"</f>
        <v>01903161</v>
      </c>
      <c r="B2722" t="s">
        <v>2904</v>
      </c>
      <c r="C2722" t="s">
        <v>7</v>
      </c>
      <c r="D2722" t="str">
        <f t="shared" si="95"/>
        <v>556904</v>
      </c>
      <c r="E2722" t="s">
        <v>2186</v>
      </c>
      <c r="F2722" t="s">
        <v>38</v>
      </c>
    </row>
    <row r="2723" spans="1:6" x14ac:dyDescent="0.25">
      <c r="A2723" t="str">
        <f>"01539728"</f>
        <v>01539728</v>
      </c>
      <c r="B2723" t="s">
        <v>2905</v>
      </c>
      <c r="C2723" t="s">
        <v>7</v>
      </c>
      <c r="D2723" t="str">
        <f t="shared" si="95"/>
        <v>556904</v>
      </c>
      <c r="E2723" t="s">
        <v>2186</v>
      </c>
      <c r="F2723" t="s">
        <v>38</v>
      </c>
    </row>
    <row r="2724" spans="1:6" x14ac:dyDescent="0.25">
      <c r="A2724" t="str">
        <f>"46747346"</f>
        <v>46747346</v>
      </c>
      <c r="B2724" t="s">
        <v>2906</v>
      </c>
      <c r="C2724" t="s">
        <v>7</v>
      </c>
      <c r="D2724" t="str">
        <f t="shared" si="95"/>
        <v>556904</v>
      </c>
      <c r="E2724" t="s">
        <v>2186</v>
      </c>
      <c r="F2724" t="s">
        <v>38</v>
      </c>
    </row>
    <row r="2725" spans="1:6" x14ac:dyDescent="0.25">
      <c r="A2725" t="str">
        <f>"46745696"</f>
        <v>46745696</v>
      </c>
      <c r="B2725" t="s">
        <v>2907</v>
      </c>
      <c r="C2725" t="s">
        <v>7</v>
      </c>
      <c r="D2725" t="str">
        <f t="shared" si="95"/>
        <v>556904</v>
      </c>
      <c r="E2725" t="s">
        <v>2186</v>
      </c>
      <c r="F2725" t="s">
        <v>38</v>
      </c>
    </row>
    <row r="2726" spans="1:6" x14ac:dyDescent="0.25">
      <c r="A2726" t="str">
        <f>"26623609"</f>
        <v>26623609</v>
      </c>
      <c r="B2726" t="s">
        <v>2908</v>
      </c>
      <c r="C2726" t="s">
        <v>7</v>
      </c>
      <c r="D2726" t="str">
        <f t="shared" si="95"/>
        <v>556904</v>
      </c>
      <c r="E2726" t="s">
        <v>2186</v>
      </c>
      <c r="F2726" t="s">
        <v>38</v>
      </c>
    </row>
    <row r="2727" spans="1:6" x14ac:dyDescent="0.25">
      <c r="A2727" t="str">
        <f>"46749985"</f>
        <v>46749985</v>
      </c>
      <c r="B2727" t="s">
        <v>2909</v>
      </c>
      <c r="C2727" t="s">
        <v>43</v>
      </c>
      <c r="D2727" t="str">
        <f t="shared" si="95"/>
        <v>556904</v>
      </c>
      <c r="E2727" t="s">
        <v>2186</v>
      </c>
      <c r="F2727" t="s">
        <v>44</v>
      </c>
    </row>
    <row r="2728" spans="1:6" x14ac:dyDescent="0.25">
      <c r="A2728" t="str">
        <f>"26994577"</f>
        <v>26994577</v>
      </c>
      <c r="B2728" t="s">
        <v>2910</v>
      </c>
      <c r="C2728" t="s">
        <v>7</v>
      </c>
      <c r="D2728" t="str">
        <f t="shared" ref="D2728:D2791" si="96">"556904"</f>
        <v>556904</v>
      </c>
      <c r="E2728" t="s">
        <v>2186</v>
      </c>
      <c r="F2728" t="s">
        <v>11</v>
      </c>
    </row>
    <row r="2729" spans="1:6" x14ac:dyDescent="0.25">
      <c r="A2729" t="str">
        <f>"46748504"</f>
        <v>46748504</v>
      </c>
      <c r="B2729" t="s">
        <v>2911</v>
      </c>
      <c r="C2729" t="s">
        <v>325</v>
      </c>
      <c r="D2729" t="str">
        <f t="shared" si="96"/>
        <v>556904</v>
      </c>
      <c r="E2729" t="s">
        <v>2186</v>
      </c>
      <c r="F2729" t="s">
        <v>11</v>
      </c>
    </row>
    <row r="2730" spans="1:6" x14ac:dyDescent="0.25">
      <c r="A2730" t="str">
        <f>"46746030"</f>
        <v>46746030</v>
      </c>
      <c r="B2730" t="s">
        <v>2912</v>
      </c>
      <c r="C2730" t="s">
        <v>325</v>
      </c>
      <c r="D2730" t="str">
        <f t="shared" si="96"/>
        <v>556904</v>
      </c>
      <c r="E2730" t="s">
        <v>2186</v>
      </c>
      <c r="F2730" t="s">
        <v>18</v>
      </c>
    </row>
    <row r="2731" spans="1:6" x14ac:dyDescent="0.25">
      <c r="A2731" t="str">
        <f>"09698698"</f>
        <v>09698698</v>
      </c>
      <c r="B2731" t="s">
        <v>2913</v>
      </c>
      <c r="C2731" t="s">
        <v>325</v>
      </c>
      <c r="D2731" t="str">
        <f t="shared" si="96"/>
        <v>556904</v>
      </c>
      <c r="E2731" t="s">
        <v>2186</v>
      </c>
      <c r="F2731" t="s">
        <v>11</v>
      </c>
    </row>
    <row r="2732" spans="1:6" x14ac:dyDescent="0.25">
      <c r="A2732" t="str">
        <f>"28717406"</f>
        <v>28717406</v>
      </c>
      <c r="B2732" t="s">
        <v>2914</v>
      </c>
      <c r="C2732" t="s">
        <v>325</v>
      </c>
      <c r="D2732" t="str">
        <f t="shared" si="96"/>
        <v>556904</v>
      </c>
      <c r="E2732" t="s">
        <v>2186</v>
      </c>
      <c r="F2732" t="s">
        <v>65</v>
      </c>
    </row>
    <row r="2733" spans="1:6" x14ac:dyDescent="0.25">
      <c r="A2733" t="str">
        <f>"25477153"</f>
        <v>25477153</v>
      </c>
      <c r="B2733" t="s">
        <v>2915</v>
      </c>
      <c r="C2733" t="s">
        <v>325</v>
      </c>
      <c r="D2733" t="str">
        <f t="shared" si="96"/>
        <v>556904</v>
      </c>
      <c r="E2733" t="s">
        <v>2186</v>
      </c>
      <c r="F2733" t="s">
        <v>11</v>
      </c>
    </row>
    <row r="2734" spans="1:6" x14ac:dyDescent="0.25">
      <c r="A2734" t="str">
        <f>"25854640"</f>
        <v>25854640</v>
      </c>
      <c r="B2734" t="s">
        <v>2916</v>
      </c>
      <c r="C2734" t="s">
        <v>325</v>
      </c>
      <c r="D2734" t="str">
        <f t="shared" si="96"/>
        <v>556904</v>
      </c>
      <c r="E2734" t="s">
        <v>2186</v>
      </c>
      <c r="F2734" t="s">
        <v>11</v>
      </c>
    </row>
    <row r="2735" spans="1:6" x14ac:dyDescent="0.25">
      <c r="A2735" t="str">
        <f>"25049879"</f>
        <v>25049879</v>
      </c>
      <c r="B2735" t="s">
        <v>2917</v>
      </c>
      <c r="C2735" t="s">
        <v>325</v>
      </c>
      <c r="D2735" t="str">
        <f t="shared" si="96"/>
        <v>556904</v>
      </c>
      <c r="E2735" t="s">
        <v>2186</v>
      </c>
      <c r="F2735" t="s">
        <v>11</v>
      </c>
    </row>
    <row r="2736" spans="1:6" x14ac:dyDescent="0.25">
      <c r="A2736" t="str">
        <f>"25419790"</f>
        <v>25419790</v>
      </c>
      <c r="B2736" t="s">
        <v>2918</v>
      </c>
      <c r="C2736" t="s">
        <v>325</v>
      </c>
      <c r="D2736" t="str">
        <f t="shared" si="96"/>
        <v>556904</v>
      </c>
      <c r="E2736" t="s">
        <v>2186</v>
      </c>
      <c r="F2736" t="s">
        <v>11</v>
      </c>
    </row>
    <row r="2737" spans="1:6" x14ac:dyDescent="0.25">
      <c r="A2737" t="str">
        <f>"25049852"</f>
        <v>25049852</v>
      </c>
      <c r="B2737" t="s">
        <v>2919</v>
      </c>
      <c r="C2737" t="s">
        <v>325</v>
      </c>
      <c r="D2737" t="str">
        <f t="shared" si="96"/>
        <v>556904</v>
      </c>
      <c r="E2737" t="s">
        <v>2186</v>
      </c>
      <c r="F2737" t="s">
        <v>11</v>
      </c>
    </row>
    <row r="2738" spans="1:6" x14ac:dyDescent="0.25">
      <c r="A2738" t="str">
        <f>"23199431"</f>
        <v>23199431</v>
      </c>
      <c r="B2738" t="s">
        <v>2920</v>
      </c>
      <c r="C2738" t="s">
        <v>325</v>
      </c>
      <c r="D2738" t="str">
        <f t="shared" si="96"/>
        <v>556904</v>
      </c>
      <c r="E2738" t="s">
        <v>2186</v>
      </c>
      <c r="F2738" t="s">
        <v>44</v>
      </c>
    </row>
    <row r="2739" spans="1:6" x14ac:dyDescent="0.25">
      <c r="A2739" t="str">
        <f>"17770432"</f>
        <v>17770432</v>
      </c>
      <c r="B2739" t="s">
        <v>2921</v>
      </c>
      <c r="C2739" t="s">
        <v>124</v>
      </c>
      <c r="D2739" t="str">
        <f t="shared" si="96"/>
        <v>556904</v>
      </c>
      <c r="E2739" t="s">
        <v>2186</v>
      </c>
      <c r="F2739" t="s">
        <v>11</v>
      </c>
    </row>
    <row r="2740" spans="1:6" x14ac:dyDescent="0.25">
      <c r="A2740" t="str">
        <f>"03752593"</f>
        <v>03752593</v>
      </c>
      <c r="B2740" t="s">
        <v>2922</v>
      </c>
      <c r="C2740" t="s">
        <v>124</v>
      </c>
      <c r="D2740" t="str">
        <f t="shared" si="96"/>
        <v>556904</v>
      </c>
      <c r="E2740" t="s">
        <v>2186</v>
      </c>
      <c r="F2740" t="s">
        <v>11</v>
      </c>
    </row>
    <row r="2741" spans="1:6" x14ac:dyDescent="0.25">
      <c r="A2741" t="str">
        <f>"22793330"</f>
        <v>22793330</v>
      </c>
      <c r="B2741" t="s">
        <v>2923</v>
      </c>
      <c r="C2741" t="s">
        <v>124</v>
      </c>
      <c r="D2741" t="str">
        <f t="shared" si="96"/>
        <v>556904</v>
      </c>
      <c r="E2741" t="s">
        <v>2186</v>
      </c>
      <c r="F2741" t="s">
        <v>11</v>
      </c>
    </row>
    <row r="2742" spans="1:6" x14ac:dyDescent="0.25">
      <c r="A2742" t="str">
        <f>"08491461"</f>
        <v>08491461</v>
      </c>
      <c r="B2742" t="s">
        <v>2924</v>
      </c>
      <c r="C2742" t="s">
        <v>124</v>
      </c>
      <c r="D2742" t="str">
        <f t="shared" si="96"/>
        <v>556904</v>
      </c>
      <c r="E2742" t="s">
        <v>2186</v>
      </c>
      <c r="F2742" t="s">
        <v>40</v>
      </c>
    </row>
    <row r="2743" spans="1:6" x14ac:dyDescent="0.25">
      <c r="A2743" t="str">
        <f>"09712739"</f>
        <v>09712739</v>
      </c>
      <c r="B2743" t="s">
        <v>2925</v>
      </c>
      <c r="C2743" t="s">
        <v>124</v>
      </c>
      <c r="D2743" t="str">
        <f t="shared" si="96"/>
        <v>556904</v>
      </c>
      <c r="E2743" t="s">
        <v>2186</v>
      </c>
      <c r="F2743" t="s">
        <v>11</v>
      </c>
    </row>
    <row r="2744" spans="1:6" x14ac:dyDescent="0.25">
      <c r="A2744" t="str">
        <f>"08674264"</f>
        <v>08674264</v>
      </c>
      <c r="B2744" t="s">
        <v>2926</v>
      </c>
      <c r="C2744" t="s">
        <v>124</v>
      </c>
      <c r="D2744" t="str">
        <f t="shared" si="96"/>
        <v>556904</v>
      </c>
      <c r="E2744" t="s">
        <v>2186</v>
      </c>
      <c r="F2744" t="s">
        <v>11</v>
      </c>
    </row>
    <row r="2745" spans="1:6" x14ac:dyDescent="0.25">
      <c r="A2745" t="str">
        <f>"08833460"</f>
        <v>08833460</v>
      </c>
      <c r="B2745" t="s">
        <v>2927</v>
      </c>
      <c r="C2745" t="s">
        <v>124</v>
      </c>
      <c r="D2745" t="str">
        <f t="shared" si="96"/>
        <v>556904</v>
      </c>
      <c r="E2745" t="s">
        <v>2186</v>
      </c>
      <c r="F2745" t="s">
        <v>11</v>
      </c>
    </row>
    <row r="2746" spans="1:6" x14ac:dyDescent="0.25">
      <c r="A2746" t="str">
        <f>"03493989"</f>
        <v>03493989</v>
      </c>
      <c r="B2746" t="s">
        <v>2928</v>
      </c>
      <c r="C2746" t="s">
        <v>124</v>
      </c>
      <c r="D2746" t="str">
        <f t="shared" si="96"/>
        <v>556904</v>
      </c>
      <c r="E2746" t="s">
        <v>2186</v>
      </c>
      <c r="F2746" t="s">
        <v>11</v>
      </c>
    </row>
    <row r="2747" spans="1:6" x14ac:dyDescent="0.25">
      <c r="A2747" t="str">
        <f>"09598758"</f>
        <v>09598758</v>
      </c>
      <c r="B2747" t="s">
        <v>2929</v>
      </c>
      <c r="C2747" t="s">
        <v>124</v>
      </c>
      <c r="D2747" t="str">
        <f t="shared" si="96"/>
        <v>556904</v>
      </c>
      <c r="E2747" t="s">
        <v>2186</v>
      </c>
      <c r="F2747" t="s">
        <v>13</v>
      </c>
    </row>
    <row r="2748" spans="1:6" x14ac:dyDescent="0.25">
      <c r="A2748" t="str">
        <f>"03833151"</f>
        <v>03833151</v>
      </c>
      <c r="B2748" t="s">
        <v>2930</v>
      </c>
      <c r="C2748" t="s">
        <v>124</v>
      </c>
      <c r="D2748" t="str">
        <f t="shared" si="96"/>
        <v>556904</v>
      </c>
      <c r="E2748" t="s">
        <v>2186</v>
      </c>
      <c r="F2748" t="s">
        <v>11</v>
      </c>
    </row>
    <row r="2749" spans="1:6" x14ac:dyDescent="0.25">
      <c r="A2749" t="str">
        <f>"22223096"</f>
        <v>22223096</v>
      </c>
      <c r="B2749" t="s">
        <v>2931</v>
      </c>
      <c r="C2749" t="s">
        <v>124</v>
      </c>
      <c r="D2749" t="str">
        <f t="shared" si="96"/>
        <v>556904</v>
      </c>
      <c r="E2749" t="s">
        <v>2186</v>
      </c>
      <c r="F2749" t="s">
        <v>11</v>
      </c>
    </row>
    <row r="2750" spans="1:6" x14ac:dyDescent="0.25">
      <c r="A2750" t="str">
        <f>"05509033"</f>
        <v>05509033</v>
      </c>
      <c r="B2750" t="s">
        <v>2932</v>
      </c>
      <c r="C2750" t="s">
        <v>124</v>
      </c>
      <c r="D2750" t="str">
        <f t="shared" si="96"/>
        <v>556904</v>
      </c>
      <c r="E2750" t="s">
        <v>2186</v>
      </c>
      <c r="F2750" t="s">
        <v>11</v>
      </c>
    </row>
    <row r="2751" spans="1:6" x14ac:dyDescent="0.25">
      <c r="A2751" t="str">
        <f>"14382521"</f>
        <v>14382521</v>
      </c>
      <c r="B2751" t="s">
        <v>2933</v>
      </c>
      <c r="C2751" t="s">
        <v>7</v>
      </c>
      <c r="D2751" t="str">
        <f t="shared" si="96"/>
        <v>556904</v>
      </c>
      <c r="E2751" t="s">
        <v>2186</v>
      </c>
      <c r="F2751" t="s">
        <v>62</v>
      </c>
    </row>
    <row r="2752" spans="1:6" x14ac:dyDescent="0.25">
      <c r="A2752" t="str">
        <f>"27036057"</f>
        <v>27036057</v>
      </c>
      <c r="B2752" t="s">
        <v>2934</v>
      </c>
      <c r="C2752" t="s">
        <v>7</v>
      </c>
      <c r="D2752" t="str">
        <f t="shared" si="96"/>
        <v>556904</v>
      </c>
      <c r="E2752" t="s">
        <v>2186</v>
      </c>
      <c r="F2752" t="s">
        <v>11</v>
      </c>
    </row>
    <row r="2753" spans="1:6" x14ac:dyDescent="0.25">
      <c r="A2753" t="str">
        <f>"75116111"</f>
        <v>75116111</v>
      </c>
      <c r="B2753" t="s">
        <v>2935</v>
      </c>
      <c r="C2753" t="s">
        <v>15</v>
      </c>
      <c r="D2753" t="str">
        <f t="shared" si="96"/>
        <v>556904</v>
      </c>
      <c r="E2753" t="s">
        <v>2186</v>
      </c>
      <c r="F2753" t="s">
        <v>11</v>
      </c>
    </row>
    <row r="2754" spans="1:6" x14ac:dyDescent="0.25">
      <c r="A2754" t="str">
        <f>"22745700"</f>
        <v>22745700</v>
      </c>
      <c r="B2754" t="s">
        <v>2936</v>
      </c>
      <c r="C2754" t="s">
        <v>7</v>
      </c>
      <c r="D2754" t="str">
        <f t="shared" si="96"/>
        <v>556904</v>
      </c>
      <c r="E2754" t="s">
        <v>2186</v>
      </c>
      <c r="F2754" t="s">
        <v>11</v>
      </c>
    </row>
    <row r="2755" spans="1:6" x14ac:dyDescent="0.25">
      <c r="A2755" t="str">
        <f>"64040739"</f>
        <v>64040739</v>
      </c>
      <c r="B2755" t="s">
        <v>2937</v>
      </c>
      <c r="C2755" t="s">
        <v>7</v>
      </c>
      <c r="D2755" t="str">
        <f t="shared" si="96"/>
        <v>556904</v>
      </c>
      <c r="E2755" t="s">
        <v>2186</v>
      </c>
      <c r="F2755" t="s">
        <v>11</v>
      </c>
    </row>
    <row r="2756" spans="1:6" x14ac:dyDescent="0.25">
      <c r="A2756" t="str">
        <f>"22721924"</f>
        <v>22721924</v>
      </c>
      <c r="B2756" t="s">
        <v>2938</v>
      </c>
      <c r="C2756" t="s">
        <v>7</v>
      </c>
      <c r="D2756" t="str">
        <f t="shared" si="96"/>
        <v>556904</v>
      </c>
      <c r="E2756" t="s">
        <v>2186</v>
      </c>
      <c r="F2756" t="s">
        <v>11</v>
      </c>
    </row>
    <row r="2757" spans="1:6" x14ac:dyDescent="0.25">
      <c r="A2757" t="str">
        <f>"22819045"</f>
        <v>22819045</v>
      </c>
      <c r="B2757" t="s">
        <v>2939</v>
      </c>
      <c r="C2757" t="s">
        <v>7</v>
      </c>
      <c r="D2757" t="str">
        <f t="shared" si="96"/>
        <v>556904</v>
      </c>
      <c r="E2757" t="s">
        <v>2186</v>
      </c>
      <c r="F2757" t="s">
        <v>11</v>
      </c>
    </row>
    <row r="2758" spans="1:6" x14ac:dyDescent="0.25">
      <c r="A2758" t="str">
        <f>"22685863"</f>
        <v>22685863</v>
      </c>
      <c r="B2758" t="s">
        <v>2940</v>
      </c>
      <c r="C2758" t="s">
        <v>7</v>
      </c>
      <c r="D2758" t="str">
        <f t="shared" si="96"/>
        <v>556904</v>
      </c>
      <c r="E2758" t="s">
        <v>2186</v>
      </c>
      <c r="F2758" t="s">
        <v>18</v>
      </c>
    </row>
    <row r="2759" spans="1:6" x14ac:dyDescent="0.25">
      <c r="A2759" t="str">
        <f>"22866566"</f>
        <v>22866566</v>
      </c>
      <c r="B2759" t="s">
        <v>2941</v>
      </c>
      <c r="C2759" t="s">
        <v>7</v>
      </c>
      <c r="D2759" t="str">
        <f t="shared" si="96"/>
        <v>556904</v>
      </c>
      <c r="E2759" t="s">
        <v>2186</v>
      </c>
      <c r="F2759" t="s">
        <v>11</v>
      </c>
    </row>
    <row r="2760" spans="1:6" x14ac:dyDescent="0.25">
      <c r="A2760" t="str">
        <f>"02252503"</f>
        <v>02252503</v>
      </c>
      <c r="B2760" t="s">
        <v>2942</v>
      </c>
      <c r="C2760" t="s">
        <v>7</v>
      </c>
      <c r="D2760" t="str">
        <f t="shared" si="96"/>
        <v>556904</v>
      </c>
      <c r="E2760" t="s">
        <v>2186</v>
      </c>
      <c r="F2760" t="s">
        <v>62</v>
      </c>
    </row>
    <row r="2761" spans="1:6" x14ac:dyDescent="0.25">
      <c r="A2761" t="str">
        <f>"27323773"</f>
        <v>27323773</v>
      </c>
      <c r="B2761" t="s">
        <v>2943</v>
      </c>
      <c r="C2761" t="s">
        <v>78</v>
      </c>
      <c r="D2761" t="str">
        <f t="shared" si="96"/>
        <v>556904</v>
      </c>
      <c r="E2761" t="s">
        <v>2186</v>
      </c>
      <c r="F2761" t="s">
        <v>2331</v>
      </c>
    </row>
    <row r="2762" spans="1:6" x14ac:dyDescent="0.25">
      <c r="A2762" t="str">
        <f>"22626433"</f>
        <v>22626433</v>
      </c>
      <c r="B2762" t="s">
        <v>2944</v>
      </c>
      <c r="C2762" t="s">
        <v>7</v>
      </c>
      <c r="D2762" t="str">
        <f t="shared" si="96"/>
        <v>556904</v>
      </c>
      <c r="E2762" t="s">
        <v>2186</v>
      </c>
      <c r="F2762" t="s">
        <v>62</v>
      </c>
    </row>
    <row r="2763" spans="1:6" x14ac:dyDescent="0.25">
      <c r="A2763" t="str">
        <f>"01851497"</f>
        <v>01851497</v>
      </c>
      <c r="B2763" t="s">
        <v>2945</v>
      </c>
      <c r="C2763" t="s">
        <v>7</v>
      </c>
      <c r="D2763" t="str">
        <f t="shared" si="96"/>
        <v>556904</v>
      </c>
      <c r="E2763" t="s">
        <v>2186</v>
      </c>
      <c r="F2763" t="s">
        <v>11</v>
      </c>
    </row>
    <row r="2764" spans="1:6" x14ac:dyDescent="0.25">
      <c r="A2764" t="str">
        <f>"02505291"</f>
        <v>02505291</v>
      </c>
      <c r="B2764" t="s">
        <v>2946</v>
      </c>
      <c r="C2764" t="s">
        <v>7</v>
      </c>
      <c r="D2764" t="str">
        <f t="shared" si="96"/>
        <v>556904</v>
      </c>
      <c r="E2764" t="s">
        <v>2186</v>
      </c>
      <c r="F2764" t="s">
        <v>9</v>
      </c>
    </row>
    <row r="2765" spans="1:6" x14ac:dyDescent="0.25">
      <c r="A2765" t="str">
        <f>"08303614"</f>
        <v>08303614</v>
      </c>
      <c r="B2765" t="s">
        <v>2947</v>
      </c>
      <c r="C2765" t="s">
        <v>20</v>
      </c>
      <c r="D2765" t="str">
        <f t="shared" si="96"/>
        <v>556904</v>
      </c>
      <c r="E2765" t="s">
        <v>2186</v>
      </c>
      <c r="F2765" t="s">
        <v>21</v>
      </c>
    </row>
    <row r="2766" spans="1:6" x14ac:dyDescent="0.25">
      <c r="A2766" t="str">
        <f>"27037681"</f>
        <v>27037681</v>
      </c>
      <c r="B2766" t="s">
        <v>2948</v>
      </c>
      <c r="C2766" t="s">
        <v>20</v>
      </c>
      <c r="D2766" t="str">
        <f t="shared" si="96"/>
        <v>556904</v>
      </c>
      <c r="E2766" t="s">
        <v>2186</v>
      </c>
      <c r="F2766" t="s">
        <v>21</v>
      </c>
    </row>
    <row r="2767" spans="1:6" x14ac:dyDescent="0.25">
      <c r="A2767" t="str">
        <f>"70693986"</f>
        <v>70693986</v>
      </c>
      <c r="B2767" t="s">
        <v>2949</v>
      </c>
      <c r="C2767" t="s">
        <v>20</v>
      </c>
      <c r="D2767" t="str">
        <f t="shared" si="96"/>
        <v>556904</v>
      </c>
      <c r="E2767" t="s">
        <v>2186</v>
      </c>
      <c r="F2767" t="s">
        <v>21</v>
      </c>
    </row>
    <row r="2768" spans="1:6" x14ac:dyDescent="0.25">
      <c r="A2768" t="str">
        <f>"26597888"</f>
        <v>26597888</v>
      </c>
      <c r="B2768" t="s">
        <v>2950</v>
      </c>
      <c r="C2768" t="s">
        <v>20</v>
      </c>
      <c r="D2768" t="str">
        <f t="shared" si="96"/>
        <v>556904</v>
      </c>
      <c r="E2768" t="s">
        <v>2186</v>
      </c>
      <c r="F2768" t="s">
        <v>21</v>
      </c>
    </row>
    <row r="2769" spans="1:6" x14ac:dyDescent="0.25">
      <c r="A2769" t="str">
        <f>"07883269"</f>
        <v>07883269</v>
      </c>
      <c r="B2769" t="s">
        <v>2951</v>
      </c>
      <c r="C2769" t="s">
        <v>20</v>
      </c>
      <c r="D2769" t="str">
        <f t="shared" si="96"/>
        <v>556904</v>
      </c>
      <c r="E2769" t="s">
        <v>2186</v>
      </c>
      <c r="F2769" t="s">
        <v>21</v>
      </c>
    </row>
    <row r="2770" spans="1:6" x14ac:dyDescent="0.25">
      <c r="A2770" t="str">
        <f>"22744355"</f>
        <v>22744355</v>
      </c>
      <c r="B2770" t="s">
        <v>2952</v>
      </c>
      <c r="C2770" t="s">
        <v>20</v>
      </c>
      <c r="D2770" t="str">
        <f t="shared" si="96"/>
        <v>556904</v>
      </c>
      <c r="E2770" t="s">
        <v>2186</v>
      </c>
      <c r="F2770" t="s">
        <v>21</v>
      </c>
    </row>
    <row r="2771" spans="1:6" x14ac:dyDescent="0.25">
      <c r="A2771" t="str">
        <f>"70911193"</f>
        <v>70911193</v>
      </c>
      <c r="B2771" t="s">
        <v>2953</v>
      </c>
      <c r="C2771" t="s">
        <v>726</v>
      </c>
      <c r="D2771" t="str">
        <f t="shared" si="96"/>
        <v>556904</v>
      </c>
      <c r="E2771" t="s">
        <v>2186</v>
      </c>
      <c r="F2771" t="s">
        <v>11</v>
      </c>
    </row>
    <row r="2772" spans="1:6" x14ac:dyDescent="0.25">
      <c r="A2772" t="str">
        <f>"22764046"</f>
        <v>22764046</v>
      </c>
      <c r="B2772" t="s">
        <v>2954</v>
      </c>
      <c r="C2772" t="s">
        <v>7</v>
      </c>
      <c r="D2772" t="str">
        <f t="shared" si="96"/>
        <v>556904</v>
      </c>
      <c r="E2772" t="s">
        <v>2186</v>
      </c>
      <c r="F2772" t="s">
        <v>62</v>
      </c>
    </row>
    <row r="2773" spans="1:6" x14ac:dyDescent="0.25">
      <c r="A2773" t="str">
        <f>"08208891"</f>
        <v>08208891</v>
      </c>
      <c r="B2773" t="s">
        <v>2955</v>
      </c>
      <c r="C2773" t="s">
        <v>7</v>
      </c>
      <c r="D2773" t="str">
        <f t="shared" si="96"/>
        <v>556904</v>
      </c>
      <c r="E2773" t="s">
        <v>2186</v>
      </c>
      <c r="F2773" t="s">
        <v>11</v>
      </c>
    </row>
    <row r="2774" spans="1:6" x14ac:dyDescent="0.25">
      <c r="A2774" t="str">
        <f>"28560833"</f>
        <v>28560833</v>
      </c>
      <c r="B2774" t="s">
        <v>2956</v>
      </c>
      <c r="C2774" t="s">
        <v>7</v>
      </c>
      <c r="D2774" t="str">
        <f t="shared" si="96"/>
        <v>556904</v>
      </c>
      <c r="E2774" t="s">
        <v>2186</v>
      </c>
      <c r="F2774" t="s">
        <v>11</v>
      </c>
    </row>
    <row r="2775" spans="1:6" x14ac:dyDescent="0.25">
      <c r="A2775" t="str">
        <f>"09850406"</f>
        <v>09850406</v>
      </c>
      <c r="B2775" t="s">
        <v>2957</v>
      </c>
      <c r="C2775" t="s">
        <v>7</v>
      </c>
      <c r="D2775" t="str">
        <f t="shared" si="96"/>
        <v>556904</v>
      </c>
      <c r="E2775" t="s">
        <v>2186</v>
      </c>
      <c r="F2775" t="s">
        <v>11</v>
      </c>
    </row>
    <row r="2776" spans="1:6" x14ac:dyDescent="0.25">
      <c r="A2776" t="str">
        <f>"22670696"</f>
        <v>22670696</v>
      </c>
      <c r="B2776" t="s">
        <v>2958</v>
      </c>
      <c r="C2776" t="s">
        <v>7</v>
      </c>
      <c r="D2776" t="str">
        <f t="shared" si="96"/>
        <v>556904</v>
      </c>
      <c r="E2776" t="s">
        <v>2186</v>
      </c>
      <c r="F2776" t="s">
        <v>11</v>
      </c>
    </row>
    <row r="2777" spans="1:6" x14ac:dyDescent="0.25">
      <c r="A2777" t="str">
        <f>"02506122"</f>
        <v>02506122</v>
      </c>
      <c r="B2777" t="s">
        <v>2959</v>
      </c>
      <c r="C2777" t="s">
        <v>7</v>
      </c>
      <c r="D2777" t="str">
        <f t="shared" si="96"/>
        <v>556904</v>
      </c>
      <c r="E2777" t="s">
        <v>2186</v>
      </c>
      <c r="F2777" t="s">
        <v>11</v>
      </c>
    </row>
    <row r="2778" spans="1:6" x14ac:dyDescent="0.25">
      <c r="A2778" t="str">
        <f>"22860819"</f>
        <v>22860819</v>
      </c>
      <c r="B2778" t="s">
        <v>2960</v>
      </c>
      <c r="C2778" t="s">
        <v>7</v>
      </c>
      <c r="D2778" t="str">
        <f t="shared" si="96"/>
        <v>556904</v>
      </c>
      <c r="E2778" t="s">
        <v>2186</v>
      </c>
      <c r="F2778" t="s">
        <v>9</v>
      </c>
    </row>
    <row r="2779" spans="1:6" x14ac:dyDescent="0.25">
      <c r="A2779" t="str">
        <f>"01308173"</f>
        <v>01308173</v>
      </c>
      <c r="B2779" t="s">
        <v>2961</v>
      </c>
      <c r="C2779" t="s">
        <v>7</v>
      </c>
      <c r="D2779" t="str">
        <f t="shared" si="96"/>
        <v>556904</v>
      </c>
      <c r="E2779" t="s">
        <v>2186</v>
      </c>
      <c r="F2779" t="s">
        <v>11</v>
      </c>
    </row>
    <row r="2780" spans="1:6" x14ac:dyDescent="0.25">
      <c r="A2780" t="str">
        <f>"08131694"</f>
        <v>08131694</v>
      </c>
      <c r="B2780" t="s">
        <v>2962</v>
      </c>
      <c r="C2780" t="s">
        <v>7</v>
      </c>
      <c r="D2780" t="str">
        <f t="shared" si="96"/>
        <v>556904</v>
      </c>
      <c r="E2780" t="s">
        <v>2186</v>
      </c>
      <c r="F2780" t="s">
        <v>35</v>
      </c>
    </row>
    <row r="2781" spans="1:6" x14ac:dyDescent="0.25">
      <c r="A2781" t="str">
        <f>"46746927"</f>
        <v>46746927</v>
      </c>
      <c r="B2781" t="s">
        <v>2963</v>
      </c>
      <c r="C2781" t="s">
        <v>7</v>
      </c>
      <c r="D2781" t="str">
        <f t="shared" si="96"/>
        <v>556904</v>
      </c>
      <c r="E2781" t="s">
        <v>2186</v>
      </c>
      <c r="F2781" t="s">
        <v>11</v>
      </c>
    </row>
    <row r="2782" spans="1:6" x14ac:dyDescent="0.25">
      <c r="A2782" t="str">
        <f>"27054101"</f>
        <v>27054101</v>
      </c>
      <c r="B2782" t="s">
        <v>2964</v>
      </c>
      <c r="C2782" t="s">
        <v>7</v>
      </c>
      <c r="D2782" t="str">
        <f t="shared" si="96"/>
        <v>556904</v>
      </c>
      <c r="E2782" t="s">
        <v>2186</v>
      </c>
      <c r="F2782" t="s">
        <v>379</v>
      </c>
    </row>
    <row r="2783" spans="1:6" x14ac:dyDescent="0.25">
      <c r="A2783" t="str">
        <f>"26641801"</f>
        <v>26641801</v>
      </c>
      <c r="B2783" t="s">
        <v>2965</v>
      </c>
      <c r="C2783" t="s">
        <v>7</v>
      </c>
      <c r="D2783" t="str">
        <f t="shared" si="96"/>
        <v>556904</v>
      </c>
      <c r="E2783" t="s">
        <v>2186</v>
      </c>
      <c r="F2783" t="s">
        <v>137</v>
      </c>
    </row>
    <row r="2784" spans="1:6" x14ac:dyDescent="0.25">
      <c r="A2784" t="str">
        <f>"27058859"</f>
        <v>27058859</v>
      </c>
      <c r="B2784" t="s">
        <v>2966</v>
      </c>
      <c r="C2784" t="s">
        <v>7</v>
      </c>
      <c r="D2784" t="str">
        <f t="shared" si="96"/>
        <v>556904</v>
      </c>
      <c r="E2784" t="s">
        <v>2186</v>
      </c>
      <c r="F2784" t="s">
        <v>424</v>
      </c>
    </row>
    <row r="2785" spans="1:6" x14ac:dyDescent="0.25">
      <c r="A2785" t="str">
        <f>"27044688"</f>
        <v>27044688</v>
      </c>
      <c r="B2785" t="s">
        <v>2967</v>
      </c>
      <c r="C2785" t="s">
        <v>7</v>
      </c>
      <c r="D2785" t="str">
        <f t="shared" si="96"/>
        <v>556904</v>
      </c>
      <c r="E2785" t="s">
        <v>2186</v>
      </c>
      <c r="F2785" t="s">
        <v>424</v>
      </c>
    </row>
    <row r="2786" spans="1:6" x14ac:dyDescent="0.25">
      <c r="A2786" t="str">
        <f>"22821333"</f>
        <v>22821333</v>
      </c>
      <c r="B2786" t="s">
        <v>2968</v>
      </c>
      <c r="C2786" t="s">
        <v>7</v>
      </c>
      <c r="D2786" t="str">
        <f t="shared" si="96"/>
        <v>556904</v>
      </c>
      <c r="E2786" t="s">
        <v>2186</v>
      </c>
      <c r="F2786" t="s">
        <v>137</v>
      </c>
    </row>
    <row r="2787" spans="1:6" x14ac:dyDescent="0.25">
      <c r="A2787" t="str">
        <f>"26636328"</f>
        <v>26636328</v>
      </c>
      <c r="B2787" t="s">
        <v>2969</v>
      </c>
      <c r="C2787" t="s">
        <v>7</v>
      </c>
      <c r="D2787" t="str">
        <f t="shared" si="96"/>
        <v>556904</v>
      </c>
      <c r="E2787" t="s">
        <v>2186</v>
      </c>
      <c r="F2787" t="s">
        <v>268</v>
      </c>
    </row>
    <row r="2788" spans="1:6" x14ac:dyDescent="0.25">
      <c r="A2788" t="str">
        <f>"22854622"</f>
        <v>22854622</v>
      </c>
      <c r="B2788" t="s">
        <v>2970</v>
      </c>
      <c r="C2788" t="s">
        <v>7</v>
      </c>
      <c r="D2788" t="str">
        <f t="shared" si="96"/>
        <v>556904</v>
      </c>
      <c r="E2788" t="s">
        <v>2186</v>
      </c>
      <c r="F2788" t="s">
        <v>18</v>
      </c>
    </row>
    <row r="2789" spans="1:6" x14ac:dyDescent="0.25">
      <c r="A2789" t="str">
        <f>"28552741"</f>
        <v>28552741</v>
      </c>
      <c r="B2789" t="s">
        <v>2971</v>
      </c>
      <c r="C2789" t="s">
        <v>7</v>
      </c>
      <c r="D2789" t="str">
        <f t="shared" si="96"/>
        <v>556904</v>
      </c>
      <c r="E2789" t="s">
        <v>2186</v>
      </c>
      <c r="F2789" t="s">
        <v>424</v>
      </c>
    </row>
    <row r="2790" spans="1:6" x14ac:dyDescent="0.25">
      <c r="A2790" t="str">
        <f>"22732900"</f>
        <v>22732900</v>
      </c>
      <c r="B2790" t="s">
        <v>2972</v>
      </c>
      <c r="C2790" t="s">
        <v>7</v>
      </c>
      <c r="D2790" t="str">
        <f t="shared" si="96"/>
        <v>556904</v>
      </c>
      <c r="E2790" t="s">
        <v>2186</v>
      </c>
      <c r="F2790" t="s">
        <v>11</v>
      </c>
    </row>
    <row r="2791" spans="1:6" x14ac:dyDescent="0.25">
      <c r="A2791" t="str">
        <f>"22679111"</f>
        <v>22679111</v>
      </c>
      <c r="B2791" t="s">
        <v>2973</v>
      </c>
      <c r="C2791" t="s">
        <v>7</v>
      </c>
      <c r="D2791" t="str">
        <f t="shared" si="96"/>
        <v>556904</v>
      </c>
      <c r="E2791" t="s">
        <v>2186</v>
      </c>
      <c r="F2791" t="s">
        <v>11</v>
      </c>
    </row>
    <row r="2792" spans="1:6" x14ac:dyDescent="0.25">
      <c r="A2792" t="str">
        <f>"70814074"</f>
        <v>70814074</v>
      </c>
      <c r="B2792" t="s">
        <v>2974</v>
      </c>
      <c r="C2792" t="s">
        <v>7</v>
      </c>
      <c r="D2792" t="str">
        <f t="shared" ref="D2792:D2855" si="97">"556904"</f>
        <v>556904</v>
      </c>
      <c r="E2792" t="s">
        <v>2186</v>
      </c>
      <c r="F2792" t="s">
        <v>139</v>
      </c>
    </row>
    <row r="2793" spans="1:6" x14ac:dyDescent="0.25">
      <c r="A2793" t="str">
        <f>"22762523"</f>
        <v>22762523</v>
      </c>
      <c r="B2793" t="s">
        <v>2975</v>
      </c>
      <c r="C2793" t="s">
        <v>7</v>
      </c>
      <c r="D2793" t="str">
        <f t="shared" si="97"/>
        <v>556904</v>
      </c>
      <c r="E2793" t="s">
        <v>2186</v>
      </c>
      <c r="F2793" t="s">
        <v>29</v>
      </c>
    </row>
    <row r="2794" spans="1:6" x14ac:dyDescent="0.25">
      <c r="A2794" t="str">
        <f>"26618532"</f>
        <v>26618532</v>
      </c>
      <c r="B2794" t="s">
        <v>2976</v>
      </c>
      <c r="C2794" t="s">
        <v>7</v>
      </c>
      <c r="D2794" t="str">
        <f t="shared" si="97"/>
        <v>556904</v>
      </c>
      <c r="E2794" t="s">
        <v>2186</v>
      </c>
      <c r="F2794" t="s">
        <v>11</v>
      </c>
    </row>
    <row r="2795" spans="1:6" x14ac:dyDescent="0.25">
      <c r="A2795" t="str">
        <f>"22901167"</f>
        <v>22901167</v>
      </c>
      <c r="B2795" t="s">
        <v>2977</v>
      </c>
      <c r="C2795" t="s">
        <v>7</v>
      </c>
      <c r="D2795" t="str">
        <f t="shared" si="97"/>
        <v>556904</v>
      </c>
      <c r="E2795" t="s">
        <v>2186</v>
      </c>
      <c r="F2795" t="s">
        <v>11</v>
      </c>
    </row>
    <row r="2796" spans="1:6" x14ac:dyDescent="0.25">
      <c r="A2796" t="str">
        <f>"27039455"</f>
        <v>27039455</v>
      </c>
      <c r="B2796" t="s">
        <v>2978</v>
      </c>
      <c r="C2796" t="s">
        <v>7</v>
      </c>
      <c r="D2796" t="str">
        <f t="shared" si="97"/>
        <v>556904</v>
      </c>
      <c r="E2796" t="s">
        <v>2186</v>
      </c>
      <c r="F2796" t="s">
        <v>11</v>
      </c>
    </row>
    <row r="2797" spans="1:6" x14ac:dyDescent="0.25">
      <c r="A2797" t="str">
        <f>"28557557"</f>
        <v>28557557</v>
      </c>
      <c r="B2797" t="s">
        <v>2979</v>
      </c>
      <c r="C2797" t="s">
        <v>7</v>
      </c>
      <c r="D2797" t="str">
        <f t="shared" si="97"/>
        <v>556904</v>
      </c>
      <c r="E2797" t="s">
        <v>2186</v>
      </c>
      <c r="F2797" t="s">
        <v>11</v>
      </c>
    </row>
    <row r="2798" spans="1:6" x14ac:dyDescent="0.25">
      <c r="A2798" t="str">
        <f>"26571374"</f>
        <v>26571374</v>
      </c>
      <c r="B2798" t="s">
        <v>2980</v>
      </c>
      <c r="C2798" t="s">
        <v>7</v>
      </c>
      <c r="D2798" t="str">
        <f t="shared" si="97"/>
        <v>556904</v>
      </c>
      <c r="E2798" t="s">
        <v>2186</v>
      </c>
      <c r="F2798" t="s">
        <v>254</v>
      </c>
    </row>
    <row r="2799" spans="1:6" x14ac:dyDescent="0.25">
      <c r="A2799" t="str">
        <f>"22667687"</f>
        <v>22667687</v>
      </c>
      <c r="B2799" t="s">
        <v>2981</v>
      </c>
      <c r="C2799" t="s">
        <v>7</v>
      </c>
      <c r="D2799" t="str">
        <f t="shared" si="97"/>
        <v>556904</v>
      </c>
      <c r="E2799" t="s">
        <v>2186</v>
      </c>
      <c r="F2799" t="s">
        <v>9</v>
      </c>
    </row>
    <row r="2800" spans="1:6" x14ac:dyDescent="0.25">
      <c r="A2800" t="str">
        <f>"22666273"</f>
        <v>22666273</v>
      </c>
      <c r="B2800" t="s">
        <v>2982</v>
      </c>
      <c r="C2800" t="s">
        <v>7</v>
      </c>
      <c r="D2800" t="str">
        <f t="shared" si="97"/>
        <v>556904</v>
      </c>
      <c r="E2800" t="s">
        <v>2186</v>
      </c>
      <c r="F2800" t="s">
        <v>11</v>
      </c>
    </row>
    <row r="2801" spans="1:6" x14ac:dyDescent="0.25">
      <c r="A2801" t="str">
        <f>"68954140"</f>
        <v>68954140</v>
      </c>
      <c r="B2801" t="s">
        <v>2983</v>
      </c>
      <c r="C2801" t="s">
        <v>7</v>
      </c>
      <c r="D2801" t="str">
        <f t="shared" si="97"/>
        <v>556904</v>
      </c>
      <c r="E2801" t="s">
        <v>2186</v>
      </c>
      <c r="F2801" t="s">
        <v>65</v>
      </c>
    </row>
    <row r="2802" spans="1:6" x14ac:dyDescent="0.25">
      <c r="A2802" t="str">
        <f>"70833508"</f>
        <v>70833508</v>
      </c>
      <c r="B2802" t="s">
        <v>2984</v>
      </c>
      <c r="C2802" t="s">
        <v>7</v>
      </c>
      <c r="D2802" t="str">
        <f t="shared" si="97"/>
        <v>556904</v>
      </c>
      <c r="E2802" t="s">
        <v>2186</v>
      </c>
      <c r="F2802" t="s">
        <v>11</v>
      </c>
    </row>
    <row r="2803" spans="1:6" x14ac:dyDescent="0.25">
      <c r="A2803" t="str">
        <f>"26647231"</f>
        <v>26647231</v>
      </c>
      <c r="B2803" t="s">
        <v>2985</v>
      </c>
      <c r="C2803" t="s">
        <v>7</v>
      </c>
      <c r="D2803" t="str">
        <f t="shared" si="97"/>
        <v>556904</v>
      </c>
      <c r="E2803" t="s">
        <v>2186</v>
      </c>
      <c r="F2803" t="s">
        <v>11</v>
      </c>
    </row>
    <row r="2804" spans="1:6" x14ac:dyDescent="0.25">
      <c r="A2804" t="str">
        <f>"22821678"</f>
        <v>22821678</v>
      </c>
      <c r="B2804" t="s">
        <v>2986</v>
      </c>
      <c r="C2804" t="s">
        <v>7</v>
      </c>
      <c r="D2804" t="str">
        <f t="shared" si="97"/>
        <v>556904</v>
      </c>
      <c r="E2804" t="s">
        <v>2186</v>
      </c>
      <c r="F2804" t="s">
        <v>11</v>
      </c>
    </row>
    <row r="2805" spans="1:6" x14ac:dyDescent="0.25">
      <c r="A2805" t="str">
        <f>"26648997"</f>
        <v>26648997</v>
      </c>
      <c r="B2805" t="s">
        <v>2987</v>
      </c>
      <c r="C2805" t="s">
        <v>7</v>
      </c>
      <c r="D2805" t="str">
        <f t="shared" si="97"/>
        <v>556904</v>
      </c>
      <c r="E2805" t="s">
        <v>2186</v>
      </c>
      <c r="F2805" t="s">
        <v>11</v>
      </c>
    </row>
    <row r="2806" spans="1:6" x14ac:dyDescent="0.25">
      <c r="A2806" t="str">
        <f>"64039439"</f>
        <v>64039439</v>
      </c>
      <c r="B2806" t="s">
        <v>2988</v>
      </c>
      <c r="C2806" t="s">
        <v>7</v>
      </c>
      <c r="D2806" t="str">
        <f t="shared" si="97"/>
        <v>556904</v>
      </c>
      <c r="E2806" t="s">
        <v>2186</v>
      </c>
      <c r="F2806" t="s">
        <v>11</v>
      </c>
    </row>
    <row r="2807" spans="1:6" x14ac:dyDescent="0.25">
      <c r="A2807" t="str">
        <f>"26585227"</f>
        <v>26585227</v>
      </c>
      <c r="B2807" t="s">
        <v>2989</v>
      </c>
      <c r="C2807" t="s">
        <v>7</v>
      </c>
      <c r="D2807" t="str">
        <f t="shared" si="97"/>
        <v>556904</v>
      </c>
      <c r="E2807" t="s">
        <v>2186</v>
      </c>
      <c r="F2807" t="s">
        <v>11</v>
      </c>
    </row>
    <row r="2808" spans="1:6" x14ac:dyDescent="0.25">
      <c r="A2808" t="str">
        <f>"22754733"</f>
        <v>22754733</v>
      </c>
      <c r="B2808" t="s">
        <v>2990</v>
      </c>
      <c r="C2808" t="s">
        <v>7</v>
      </c>
      <c r="D2808" t="str">
        <f t="shared" si="97"/>
        <v>556904</v>
      </c>
      <c r="E2808" t="s">
        <v>2186</v>
      </c>
      <c r="F2808" t="s">
        <v>11</v>
      </c>
    </row>
    <row r="2809" spans="1:6" x14ac:dyDescent="0.25">
      <c r="A2809" t="str">
        <f>"22687998"</f>
        <v>22687998</v>
      </c>
      <c r="B2809" t="s">
        <v>2991</v>
      </c>
      <c r="C2809" t="s">
        <v>7</v>
      </c>
      <c r="D2809" t="str">
        <f t="shared" si="97"/>
        <v>556904</v>
      </c>
      <c r="E2809" t="s">
        <v>2186</v>
      </c>
      <c r="F2809" t="s">
        <v>137</v>
      </c>
    </row>
    <row r="2810" spans="1:6" x14ac:dyDescent="0.25">
      <c r="A2810" t="str">
        <f>"64040623"</f>
        <v>64040623</v>
      </c>
      <c r="B2810" t="s">
        <v>2992</v>
      </c>
      <c r="C2810" t="s">
        <v>7</v>
      </c>
      <c r="D2810" t="str">
        <f t="shared" si="97"/>
        <v>556904</v>
      </c>
      <c r="E2810" t="s">
        <v>2186</v>
      </c>
      <c r="F2810" t="s">
        <v>254</v>
      </c>
    </row>
    <row r="2811" spans="1:6" x14ac:dyDescent="0.25">
      <c r="A2811" t="str">
        <f>"22676813"</f>
        <v>22676813</v>
      </c>
      <c r="B2811" t="s">
        <v>2993</v>
      </c>
      <c r="C2811" t="s">
        <v>7</v>
      </c>
      <c r="D2811" t="str">
        <f t="shared" si="97"/>
        <v>556904</v>
      </c>
      <c r="E2811" t="s">
        <v>2186</v>
      </c>
      <c r="F2811" t="s">
        <v>11</v>
      </c>
    </row>
    <row r="2812" spans="1:6" x14ac:dyDescent="0.25">
      <c r="A2812" t="str">
        <f>"46749659"</f>
        <v>46749659</v>
      </c>
      <c r="B2812" t="s">
        <v>2994</v>
      </c>
      <c r="C2812" t="s">
        <v>7</v>
      </c>
      <c r="D2812" t="str">
        <f t="shared" si="97"/>
        <v>556904</v>
      </c>
      <c r="E2812" t="s">
        <v>2186</v>
      </c>
      <c r="F2812" t="s">
        <v>11</v>
      </c>
    </row>
    <row r="2813" spans="1:6" x14ac:dyDescent="0.25">
      <c r="A2813" t="str">
        <f>"27015467"</f>
        <v>27015467</v>
      </c>
      <c r="B2813" t="s">
        <v>2995</v>
      </c>
      <c r="C2813" t="s">
        <v>7</v>
      </c>
      <c r="D2813" t="str">
        <f t="shared" si="97"/>
        <v>556904</v>
      </c>
      <c r="E2813" t="s">
        <v>2186</v>
      </c>
      <c r="F2813" t="s">
        <v>9</v>
      </c>
    </row>
    <row r="2814" spans="1:6" x14ac:dyDescent="0.25">
      <c r="A2814" t="str">
        <f>"68974566"</f>
        <v>68974566</v>
      </c>
      <c r="B2814" t="s">
        <v>2996</v>
      </c>
      <c r="C2814" t="s">
        <v>7</v>
      </c>
      <c r="D2814" t="str">
        <f t="shared" si="97"/>
        <v>556904</v>
      </c>
      <c r="E2814" t="s">
        <v>2186</v>
      </c>
      <c r="F2814" t="s">
        <v>11</v>
      </c>
    </row>
    <row r="2815" spans="1:6" x14ac:dyDescent="0.25">
      <c r="A2815" t="str">
        <f>"26553198"</f>
        <v>26553198</v>
      </c>
      <c r="B2815" t="s">
        <v>2997</v>
      </c>
      <c r="C2815" t="s">
        <v>7</v>
      </c>
      <c r="D2815" t="str">
        <f t="shared" si="97"/>
        <v>556904</v>
      </c>
      <c r="E2815" t="s">
        <v>2186</v>
      </c>
      <c r="F2815" t="s">
        <v>11</v>
      </c>
    </row>
    <row r="2816" spans="1:6" x14ac:dyDescent="0.25">
      <c r="A2816" t="str">
        <f>"26540339"</f>
        <v>26540339</v>
      </c>
      <c r="B2816" t="s">
        <v>2998</v>
      </c>
      <c r="C2816" t="s">
        <v>7</v>
      </c>
      <c r="D2816" t="str">
        <f t="shared" si="97"/>
        <v>556904</v>
      </c>
      <c r="E2816" t="s">
        <v>2186</v>
      </c>
      <c r="F2816" t="s">
        <v>11</v>
      </c>
    </row>
    <row r="2817" spans="1:6" x14ac:dyDescent="0.25">
      <c r="A2817" t="str">
        <f>"27053431"</f>
        <v>27053431</v>
      </c>
      <c r="B2817" t="s">
        <v>2999</v>
      </c>
      <c r="C2817" t="s">
        <v>7</v>
      </c>
      <c r="D2817" t="str">
        <f t="shared" si="97"/>
        <v>556904</v>
      </c>
      <c r="E2817" t="s">
        <v>2186</v>
      </c>
      <c r="F2817" t="s">
        <v>29</v>
      </c>
    </row>
    <row r="2818" spans="1:6" x14ac:dyDescent="0.25">
      <c r="A2818" t="str">
        <f>"73634603"</f>
        <v>73634603</v>
      </c>
      <c r="B2818" t="s">
        <v>3000</v>
      </c>
      <c r="C2818" t="s">
        <v>43</v>
      </c>
      <c r="D2818" t="str">
        <f t="shared" si="97"/>
        <v>556904</v>
      </c>
      <c r="E2818" t="s">
        <v>2186</v>
      </c>
      <c r="F2818" t="s">
        <v>183</v>
      </c>
    </row>
    <row r="2819" spans="1:6" x14ac:dyDescent="0.25">
      <c r="A2819" t="str">
        <f>"00426091"</f>
        <v>00426091</v>
      </c>
      <c r="B2819" t="s">
        <v>3001</v>
      </c>
      <c r="C2819" t="s">
        <v>15</v>
      </c>
      <c r="D2819" t="str">
        <f t="shared" si="97"/>
        <v>556904</v>
      </c>
      <c r="E2819" t="s">
        <v>2186</v>
      </c>
      <c r="F2819" t="s">
        <v>29</v>
      </c>
    </row>
    <row r="2820" spans="1:6" x14ac:dyDescent="0.25">
      <c r="A2820" t="str">
        <f>"26642808"</f>
        <v>26642808</v>
      </c>
      <c r="B2820" t="s">
        <v>3002</v>
      </c>
      <c r="C2820" t="s">
        <v>7</v>
      </c>
      <c r="D2820" t="str">
        <f t="shared" si="97"/>
        <v>556904</v>
      </c>
      <c r="E2820" t="s">
        <v>2186</v>
      </c>
      <c r="F2820" t="s">
        <v>11</v>
      </c>
    </row>
    <row r="2821" spans="1:6" x14ac:dyDescent="0.25">
      <c r="A2821" t="str">
        <f>"60502185"</f>
        <v>60502185</v>
      </c>
      <c r="B2821" t="s">
        <v>3003</v>
      </c>
      <c r="C2821" t="s">
        <v>20</v>
      </c>
      <c r="D2821" t="str">
        <f t="shared" si="97"/>
        <v>556904</v>
      </c>
      <c r="E2821" t="s">
        <v>2186</v>
      </c>
      <c r="F2821" t="s">
        <v>21</v>
      </c>
    </row>
    <row r="2822" spans="1:6" x14ac:dyDescent="0.25">
      <c r="A2822" t="str">
        <f>"22666800"</f>
        <v>22666800</v>
      </c>
      <c r="B2822" t="s">
        <v>3004</v>
      </c>
      <c r="C2822" t="s">
        <v>20</v>
      </c>
      <c r="D2822" t="str">
        <f t="shared" si="97"/>
        <v>556904</v>
      </c>
      <c r="E2822" t="s">
        <v>2186</v>
      </c>
      <c r="F2822" t="s">
        <v>21</v>
      </c>
    </row>
    <row r="2823" spans="1:6" x14ac:dyDescent="0.25">
      <c r="A2823" t="str">
        <f>"19879261"</f>
        <v>19879261</v>
      </c>
      <c r="B2823" t="s">
        <v>3005</v>
      </c>
      <c r="C2823" t="s">
        <v>20</v>
      </c>
      <c r="D2823" t="str">
        <f t="shared" si="97"/>
        <v>556904</v>
      </c>
      <c r="E2823" t="s">
        <v>2186</v>
      </c>
      <c r="F2823" t="s">
        <v>21</v>
      </c>
    </row>
    <row r="2824" spans="1:6" x14ac:dyDescent="0.25">
      <c r="A2824" t="str">
        <f>"17346711"</f>
        <v>17346711</v>
      </c>
      <c r="B2824" t="s">
        <v>3006</v>
      </c>
      <c r="C2824" t="s">
        <v>20</v>
      </c>
      <c r="D2824" t="str">
        <f t="shared" si="97"/>
        <v>556904</v>
      </c>
      <c r="E2824" t="s">
        <v>2186</v>
      </c>
      <c r="F2824" t="s">
        <v>21</v>
      </c>
    </row>
    <row r="2825" spans="1:6" x14ac:dyDescent="0.25">
      <c r="A2825" t="str">
        <f>"17267161"</f>
        <v>17267161</v>
      </c>
      <c r="B2825" t="s">
        <v>3007</v>
      </c>
      <c r="C2825" t="s">
        <v>20</v>
      </c>
      <c r="D2825" t="str">
        <f t="shared" si="97"/>
        <v>556904</v>
      </c>
      <c r="E2825" t="s">
        <v>2186</v>
      </c>
      <c r="F2825" t="s">
        <v>21</v>
      </c>
    </row>
    <row r="2826" spans="1:6" x14ac:dyDescent="0.25">
      <c r="A2826" t="str">
        <f>"22331115"</f>
        <v>22331115</v>
      </c>
      <c r="B2826" t="s">
        <v>3008</v>
      </c>
      <c r="C2826" t="s">
        <v>20</v>
      </c>
      <c r="D2826" t="str">
        <f t="shared" si="97"/>
        <v>556904</v>
      </c>
      <c r="E2826" t="s">
        <v>2186</v>
      </c>
      <c r="F2826" t="s">
        <v>21</v>
      </c>
    </row>
    <row r="2827" spans="1:6" x14ac:dyDescent="0.25">
      <c r="A2827" t="str">
        <f>"26677903"</f>
        <v>26677903</v>
      </c>
      <c r="B2827" t="s">
        <v>3009</v>
      </c>
      <c r="C2827" t="s">
        <v>20</v>
      </c>
      <c r="D2827" t="str">
        <f t="shared" si="97"/>
        <v>556904</v>
      </c>
      <c r="E2827" t="s">
        <v>2186</v>
      </c>
      <c r="F2827" t="s">
        <v>21</v>
      </c>
    </row>
    <row r="2828" spans="1:6" x14ac:dyDescent="0.25">
      <c r="A2828" t="str">
        <f>"22678042"</f>
        <v>22678042</v>
      </c>
      <c r="B2828" t="s">
        <v>3010</v>
      </c>
      <c r="C2828" t="s">
        <v>20</v>
      </c>
      <c r="D2828" t="str">
        <f t="shared" si="97"/>
        <v>556904</v>
      </c>
      <c r="E2828" t="s">
        <v>2186</v>
      </c>
      <c r="F2828" t="s">
        <v>21</v>
      </c>
    </row>
    <row r="2829" spans="1:6" x14ac:dyDescent="0.25">
      <c r="A2829" t="str">
        <f>"70861480"</f>
        <v>70861480</v>
      </c>
      <c r="B2829" t="s">
        <v>3011</v>
      </c>
      <c r="C2829" t="s">
        <v>20</v>
      </c>
      <c r="D2829" t="str">
        <f t="shared" si="97"/>
        <v>556904</v>
      </c>
      <c r="E2829" t="s">
        <v>2186</v>
      </c>
      <c r="F2829" t="s">
        <v>21</v>
      </c>
    </row>
    <row r="2830" spans="1:6" x14ac:dyDescent="0.25">
      <c r="A2830" t="str">
        <f>"22849301"</f>
        <v>22849301</v>
      </c>
      <c r="B2830" t="s">
        <v>3012</v>
      </c>
      <c r="C2830" t="s">
        <v>7</v>
      </c>
      <c r="D2830" t="str">
        <f t="shared" si="97"/>
        <v>556904</v>
      </c>
      <c r="E2830" t="s">
        <v>2186</v>
      </c>
      <c r="F2830" t="s">
        <v>11</v>
      </c>
    </row>
    <row r="2831" spans="1:6" x14ac:dyDescent="0.25">
      <c r="A2831" t="str">
        <f>"26984458"</f>
        <v>26984458</v>
      </c>
      <c r="B2831" t="s">
        <v>3013</v>
      </c>
      <c r="C2831" t="s">
        <v>7</v>
      </c>
      <c r="D2831" t="str">
        <f t="shared" si="97"/>
        <v>556904</v>
      </c>
      <c r="E2831" t="s">
        <v>2186</v>
      </c>
      <c r="F2831" t="s">
        <v>11</v>
      </c>
    </row>
    <row r="2832" spans="1:6" x14ac:dyDescent="0.25">
      <c r="A2832" t="str">
        <f>"26987911"</f>
        <v>26987911</v>
      </c>
      <c r="B2832" t="s">
        <v>3014</v>
      </c>
      <c r="C2832" t="s">
        <v>7</v>
      </c>
      <c r="D2832" t="str">
        <f t="shared" si="97"/>
        <v>556904</v>
      </c>
      <c r="E2832" t="s">
        <v>2186</v>
      </c>
      <c r="F2832" t="s">
        <v>9</v>
      </c>
    </row>
    <row r="2833" spans="1:6" x14ac:dyDescent="0.25">
      <c r="A2833" t="str">
        <f>"27048390"</f>
        <v>27048390</v>
      </c>
      <c r="B2833" t="s">
        <v>3015</v>
      </c>
      <c r="C2833" t="s">
        <v>7</v>
      </c>
      <c r="D2833" t="str">
        <f t="shared" si="97"/>
        <v>556904</v>
      </c>
      <c r="E2833" t="s">
        <v>2186</v>
      </c>
      <c r="F2833" t="s">
        <v>424</v>
      </c>
    </row>
    <row r="2834" spans="1:6" x14ac:dyDescent="0.25">
      <c r="A2834" t="str">
        <f>"26525283"</f>
        <v>26525283</v>
      </c>
      <c r="B2834" t="s">
        <v>3016</v>
      </c>
      <c r="C2834" t="s">
        <v>7</v>
      </c>
      <c r="D2834" t="str">
        <f t="shared" si="97"/>
        <v>556904</v>
      </c>
      <c r="E2834" t="s">
        <v>2186</v>
      </c>
      <c r="F2834" t="s">
        <v>11</v>
      </c>
    </row>
    <row r="2835" spans="1:6" x14ac:dyDescent="0.25">
      <c r="A2835" t="str">
        <f>"05329361"</f>
        <v>05329361</v>
      </c>
      <c r="B2835" t="s">
        <v>3017</v>
      </c>
      <c r="C2835" t="s">
        <v>7</v>
      </c>
      <c r="D2835" t="str">
        <f t="shared" si="97"/>
        <v>556904</v>
      </c>
      <c r="E2835" t="s">
        <v>2186</v>
      </c>
      <c r="F2835" t="s">
        <v>65</v>
      </c>
    </row>
    <row r="2836" spans="1:6" x14ac:dyDescent="0.25">
      <c r="A2836" t="str">
        <f>"22673016"</f>
        <v>22673016</v>
      </c>
      <c r="B2836" t="s">
        <v>3018</v>
      </c>
      <c r="C2836" t="s">
        <v>7</v>
      </c>
      <c r="D2836" t="str">
        <f t="shared" si="97"/>
        <v>556904</v>
      </c>
      <c r="E2836" t="s">
        <v>2186</v>
      </c>
      <c r="F2836" t="s">
        <v>11</v>
      </c>
    </row>
    <row r="2837" spans="1:6" x14ac:dyDescent="0.25">
      <c r="A2837" t="str">
        <f>"07730535"</f>
        <v>07730535</v>
      </c>
      <c r="B2837" t="s">
        <v>3019</v>
      </c>
      <c r="C2837" t="s">
        <v>7</v>
      </c>
      <c r="D2837" t="str">
        <f t="shared" si="97"/>
        <v>556904</v>
      </c>
      <c r="E2837" t="s">
        <v>2186</v>
      </c>
      <c r="F2837" t="s">
        <v>11</v>
      </c>
    </row>
    <row r="2838" spans="1:6" x14ac:dyDescent="0.25">
      <c r="A2838" t="str">
        <f>"22882782"</f>
        <v>22882782</v>
      </c>
      <c r="B2838" t="s">
        <v>3020</v>
      </c>
      <c r="C2838" t="s">
        <v>15</v>
      </c>
      <c r="D2838" t="str">
        <f t="shared" si="97"/>
        <v>556904</v>
      </c>
      <c r="E2838" t="s">
        <v>2186</v>
      </c>
      <c r="F2838" t="s">
        <v>9</v>
      </c>
    </row>
    <row r="2839" spans="1:6" x14ac:dyDescent="0.25">
      <c r="A2839" t="str">
        <f>"72086084"</f>
        <v>72086084</v>
      </c>
      <c r="B2839" t="s">
        <v>3021</v>
      </c>
      <c r="C2839" t="s">
        <v>15</v>
      </c>
      <c r="D2839" t="str">
        <f t="shared" si="97"/>
        <v>556904</v>
      </c>
      <c r="E2839" t="s">
        <v>2186</v>
      </c>
      <c r="F2839" t="s">
        <v>9</v>
      </c>
    </row>
    <row r="2840" spans="1:6" x14ac:dyDescent="0.25">
      <c r="A2840" t="str">
        <f>"69897654"</f>
        <v>69897654</v>
      </c>
      <c r="B2840" t="s">
        <v>3022</v>
      </c>
      <c r="C2840" t="s">
        <v>7</v>
      </c>
      <c r="D2840" t="str">
        <f t="shared" si="97"/>
        <v>556904</v>
      </c>
      <c r="E2840" t="s">
        <v>2186</v>
      </c>
      <c r="F2840" t="s">
        <v>254</v>
      </c>
    </row>
    <row r="2841" spans="1:6" x14ac:dyDescent="0.25">
      <c r="A2841" t="str">
        <f>"64040542"</f>
        <v>64040542</v>
      </c>
      <c r="B2841" t="s">
        <v>3023</v>
      </c>
      <c r="C2841" t="s">
        <v>7</v>
      </c>
      <c r="D2841" t="str">
        <f t="shared" si="97"/>
        <v>556904</v>
      </c>
      <c r="E2841" t="s">
        <v>2186</v>
      </c>
      <c r="F2841" t="s">
        <v>9</v>
      </c>
    </row>
    <row r="2842" spans="1:6" x14ac:dyDescent="0.25">
      <c r="A2842" t="str">
        <f>"07324588"</f>
        <v>07324588</v>
      </c>
      <c r="B2842" t="s">
        <v>3024</v>
      </c>
      <c r="C2842" t="s">
        <v>7</v>
      </c>
      <c r="D2842" t="str">
        <f t="shared" si="97"/>
        <v>556904</v>
      </c>
      <c r="E2842" t="s">
        <v>2186</v>
      </c>
      <c r="F2842" t="s">
        <v>11</v>
      </c>
    </row>
    <row r="2843" spans="1:6" x14ac:dyDescent="0.25">
      <c r="A2843" t="str">
        <f>"22737979"</f>
        <v>22737979</v>
      </c>
      <c r="B2843" t="s">
        <v>3025</v>
      </c>
      <c r="C2843" t="s">
        <v>7</v>
      </c>
      <c r="D2843" t="str">
        <f t="shared" si="97"/>
        <v>556904</v>
      </c>
      <c r="E2843" t="s">
        <v>2186</v>
      </c>
      <c r="F2843" t="s">
        <v>11</v>
      </c>
    </row>
    <row r="2844" spans="1:6" x14ac:dyDescent="0.25">
      <c r="A2844" t="str">
        <f>"26628741"</f>
        <v>26628741</v>
      </c>
      <c r="B2844" t="s">
        <v>3026</v>
      </c>
      <c r="C2844" t="s">
        <v>7</v>
      </c>
      <c r="D2844" t="str">
        <f t="shared" si="97"/>
        <v>556904</v>
      </c>
      <c r="E2844" t="s">
        <v>2186</v>
      </c>
      <c r="F2844" t="s">
        <v>11</v>
      </c>
    </row>
    <row r="2845" spans="1:6" x14ac:dyDescent="0.25">
      <c r="A2845" t="str">
        <f>"26639254"</f>
        <v>26639254</v>
      </c>
      <c r="B2845" t="s">
        <v>3027</v>
      </c>
      <c r="C2845" t="s">
        <v>7</v>
      </c>
      <c r="D2845" t="str">
        <f t="shared" si="97"/>
        <v>556904</v>
      </c>
      <c r="E2845" t="s">
        <v>2186</v>
      </c>
      <c r="F2845" t="s">
        <v>13</v>
      </c>
    </row>
    <row r="2846" spans="1:6" x14ac:dyDescent="0.25">
      <c r="A2846" t="str">
        <f>"27036863"</f>
        <v>27036863</v>
      </c>
      <c r="B2846" t="s">
        <v>3028</v>
      </c>
      <c r="C2846" t="s">
        <v>7</v>
      </c>
      <c r="D2846" t="str">
        <f t="shared" si="97"/>
        <v>556904</v>
      </c>
      <c r="E2846" t="s">
        <v>2186</v>
      </c>
      <c r="F2846" t="s">
        <v>9</v>
      </c>
    </row>
    <row r="2847" spans="1:6" x14ac:dyDescent="0.25">
      <c r="A2847" t="str">
        <f>"26571668"</f>
        <v>26571668</v>
      </c>
      <c r="B2847" t="s">
        <v>3029</v>
      </c>
      <c r="C2847" t="s">
        <v>7</v>
      </c>
      <c r="D2847" t="str">
        <f t="shared" si="97"/>
        <v>556904</v>
      </c>
      <c r="E2847" t="s">
        <v>2186</v>
      </c>
      <c r="F2847" t="s">
        <v>11</v>
      </c>
    </row>
    <row r="2848" spans="1:6" x14ac:dyDescent="0.25">
      <c r="A2848" t="str">
        <f>"41326555"</f>
        <v>41326555</v>
      </c>
      <c r="B2848" t="s">
        <v>3030</v>
      </c>
      <c r="C2848" t="s">
        <v>20</v>
      </c>
      <c r="D2848" t="str">
        <f t="shared" si="97"/>
        <v>556904</v>
      </c>
      <c r="E2848" t="s">
        <v>2186</v>
      </c>
      <c r="F2848" t="s">
        <v>21</v>
      </c>
    </row>
    <row r="2849" spans="1:6" x14ac:dyDescent="0.25">
      <c r="A2849" t="str">
        <f>"27007693"</f>
        <v>27007693</v>
      </c>
      <c r="B2849" t="s">
        <v>3031</v>
      </c>
      <c r="C2849" t="s">
        <v>7</v>
      </c>
      <c r="D2849" t="str">
        <f t="shared" si="97"/>
        <v>556904</v>
      </c>
      <c r="E2849" t="s">
        <v>2186</v>
      </c>
      <c r="F2849" t="s">
        <v>11</v>
      </c>
    </row>
    <row r="2850" spans="1:6" x14ac:dyDescent="0.25">
      <c r="A2850" t="str">
        <f>"27338797"</f>
        <v>27338797</v>
      </c>
      <c r="B2850" t="s">
        <v>3032</v>
      </c>
      <c r="C2850" t="s">
        <v>78</v>
      </c>
      <c r="D2850" t="str">
        <f t="shared" si="97"/>
        <v>556904</v>
      </c>
      <c r="E2850" t="s">
        <v>2186</v>
      </c>
      <c r="F2850" t="s">
        <v>326</v>
      </c>
    </row>
    <row r="2851" spans="1:6" x14ac:dyDescent="0.25">
      <c r="A2851" t="str">
        <f>"28558049"</f>
        <v>28558049</v>
      </c>
      <c r="B2851" t="s">
        <v>3033</v>
      </c>
      <c r="C2851" t="s">
        <v>7</v>
      </c>
      <c r="D2851" t="str">
        <f t="shared" si="97"/>
        <v>556904</v>
      </c>
      <c r="E2851" t="s">
        <v>2186</v>
      </c>
      <c r="F2851" t="s">
        <v>9</v>
      </c>
    </row>
    <row r="2852" spans="1:6" x14ac:dyDescent="0.25">
      <c r="A2852" t="str">
        <f>"22722611"</f>
        <v>22722611</v>
      </c>
      <c r="B2852" t="s">
        <v>3034</v>
      </c>
      <c r="C2852" t="s">
        <v>7</v>
      </c>
      <c r="D2852" t="str">
        <f t="shared" si="97"/>
        <v>556904</v>
      </c>
      <c r="E2852" t="s">
        <v>2186</v>
      </c>
      <c r="F2852" t="s">
        <v>11</v>
      </c>
    </row>
    <row r="2853" spans="1:6" x14ac:dyDescent="0.25">
      <c r="A2853" t="str">
        <f>"22872906"</f>
        <v>22872906</v>
      </c>
      <c r="B2853" t="s">
        <v>3035</v>
      </c>
      <c r="C2853" t="s">
        <v>7</v>
      </c>
      <c r="D2853" t="str">
        <f t="shared" si="97"/>
        <v>556904</v>
      </c>
      <c r="E2853" t="s">
        <v>2186</v>
      </c>
      <c r="F2853" t="s">
        <v>11</v>
      </c>
    </row>
    <row r="2854" spans="1:6" x14ac:dyDescent="0.25">
      <c r="A2854" t="str">
        <f>"46746358"</f>
        <v>46746358</v>
      </c>
      <c r="B2854" t="s">
        <v>3036</v>
      </c>
      <c r="C2854" t="s">
        <v>7</v>
      </c>
      <c r="D2854" t="str">
        <f t="shared" si="97"/>
        <v>556904</v>
      </c>
      <c r="E2854" t="s">
        <v>2186</v>
      </c>
      <c r="F2854" t="s">
        <v>9</v>
      </c>
    </row>
    <row r="2855" spans="1:6" x14ac:dyDescent="0.25">
      <c r="A2855" t="str">
        <f>"05906326"</f>
        <v>05906326</v>
      </c>
      <c r="B2855" t="s">
        <v>3037</v>
      </c>
      <c r="C2855" t="s">
        <v>7</v>
      </c>
      <c r="D2855" t="str">
        <f t="shared" si="97"/>
        <v>556904</v>
      </c>
      <c r="E2855" t="s">
        <v>2186</v>
      </c>
      <c r="F2855" t="s">
        <v>35</v>
      </c>
    </row>
    <row r="2856" spans="1:6" x14ac:dyDescent="0.25">
      <c r="A2856" t="str">
        <f>"22833293"</f>
        <v>22833293</v>
      </c>
      <c r="B2856" t="s">
        <v>3038</v>
      </c>
      <c r="C2856" t="s">
        <v>7</v>
      </c>
      <c r="D2856" t="str">
        <f t="shared" ref="D2856:D2919" si="98">"556904"</f>
        <v>556904</v>
      </c>
      <c r="E2856" t="s">
        <v>2186</v>
      </c>
      <c r="F2856" t="s">
        <v>29</v>
      </c>
    </row>
    <row r="2857" spans="1:6" x14ac:dyDescent="0.25">
      <c r="A2857" t="str">
        <f>"02803828"</f>
        <v>02803828</v>
      </c>
      <c r="B2857" t="s">
        <v>3039</v>
      </c>
      <c r="C2857" t="s">
        <v>7</v>
      </c>
      <c r="D2857" t="str">
        <f t="shared" si="98"/>
        <v>556904</v>
      </c>
      <c r="E2857" t="s">
        <v>2186</v>
      </c>
      <c r="F2857" t="s">
        <v>11</v>
      </c>
    </row>
    <row r="2858" spans="1:6" x14ac:dyDescent="0.25">
      <c r="A2858" t="str">
        <f>"27009556"</f>
        <v>27009556</v>
      </c>
      <c r="B2858" t="s">
        <v>3040</v>
      </c>
      <c r="C2858" t="s">
        <v>7</v>
      </c>
      <c r="D2858" t="str">
        <f t="shared" si="98"/>
        <v>556904</v>
      </c>
      <c r="E2858" t="s">
        <v>2186</v>
      </c>
      <c r="F2858" t="s">
        <v>62</v>
      </c>
    </row>
    <row r="2859" spans="1:6" x14ac:dyDescent="0.25">
      <c r="A2859" t="str">
        <f>"08048851"</f>
        <v>08048851</v>
      </c>
      <c r="B2859" t="s">
        <v>3041</v>
      </c>
      <c r="C2859" t="s">
        <v>7</v>
      </c>
      <c r="D2859" t="str">
        <f t="shared" si="98"/>
        <v>556904</v>
      </c>
      <c r="E2859" t="s">
        <v>2186</v>
      </c>
      <c r="F2859" t="s">
        <v>35</v>
      </c>
    </row>
    <row r="2860" spans="1:6" x14ac:dyDescent="0.25">
      <c r="A2860" t="str">
        <f>"46744231"</f>
        <v>46744231</v>
      </c>
      <c r="B2860" t="s">
        <v>3042</v>
      </c>
      <c r="C2860" t="s">
        <v>7</v>
      </c>
      <c r="D2860" t="str">
        <f t="shared" si="98"/>
        <v>556904</v>
      </c>
      <c r="E2860" t="s">
        <v>2186</v>
      </c>
      <c r="F2860" t="s">
        <v>35</v>
      </c>
    </row>
    <row r="2861" spans="1:6" x14ac:dyDescent="0.25">
      <c r="A2861" t="str">
        <f>"70825181"</f>
        <v>70825181</v>
      </c>
      <c r="B2861" t="s">
        <v>3043</v>
      </c>
      <c r="C2861" t="s">
        <v>7</v>
      </c>
      <c r="D2861" t="str">
        <f t="shared" si="98"/>
        <v>556904</v>
      </c>
      <c r="E2861" t="s">
        <v>2186</v>
      </c>
      <c r="F2861" t="s">
        <v>65</v>
      </c>
    </row>
    <row r="2862" spans="1:6" x14ac:dyDescent="0.25">
      <c r="A2862" t="str">
        <f>"01491822"</f>
        <v>01491822</v>
      </c>
      <c r="B2862" t="s">
        <v>3044</v>
      </c>
      <c r="C2862" t="s">
        <v>7</v>
      </c>
      <c r="D2862" t="str">
        <f t="shared" si="98"/>
        <v>556904</v>
      </c>
      <c r="E2862" t="s">
        <v>2186</v>
      </c>
      <c r="F2862" t="s">
        <v>11</v>
      </c>
    </row>
    <row r="2863" spans="1:6" x14ac:dyDescent="0.25">
      <c r="A2863" t="str">
        <f>"46745734"</f>
        <v>46745734</v>
      </c>
      <c r="B2863" t="s">
        <v>3045</v>
      </c>
      <c r="C2863" t="s">
        <v>7</v>
      </c>
      <c r="D2863" t="str">
        <f t="shared" si="98"/>
        <v>556904</v>
      </c>
      <c r="E2863" t="s">
        <v>2186</v>
      </c>
      <c r="F2863" t="s">
        <v>38</v>
      </c>
    </row>
    <row r="2864" spans="1:6" x14ac:dyDescent="0.25">
      <c r="A2864" t="str">
        <f>"46749705"</f>
        <v>46749705</v>
      </c>
      <c r="B2864" t="s">
        <v>3046</v>
      </c>
      <c r="C2864" t="s">
        <v>7</v>
      </c>
      <c r="D2864" t="str">
        <f t="shared" si="98"/>
        <v>556904</v>
      </c>
      <c r="E2864" t="s">
        <v>2186</v>
      </c>
      <c r="F2864" t="s">
        <v>9</v>
      </c>
    </row>
    <row r="2865" spans="1:6" x14ac:dyDescent="0.25">
      <c r="A2865" t="str">
        <f>"17894972"</f>
        <v>17894972</v>
      </c>
      <c r="B2865" t="s">
        <v>3047</v>
      </c>
      <c r="C2865" t="s">
        <v>7</v>
      </c>
      <c r="D2865" t="str">
        <f t="shared" si="98"/>
        <v>556904</v>
      </c>
      <c r="E2865" t="s">
        <v>2186</v>
      </c>
      <c r="F2865" t="s">
        <v>11</v>
      </c>
    </row>
    <row r="2866" spans="1:6" x14ac:dyDescent="0.25">
      <c r="A2866" t="str">
        <f>"69291667"</f>
        <v>69291667</v>
      </c>
      <c r="B2866" t="s">
        <v>3048</v>
      </c>
      <c r="C2866" t="s">
        <v>7</v>
      </c>
      <c r="D2866" t="str">
        <f t="shared" si="98"/>
        <v>556904</v>
      </c>
      <c r="E2866" t="s">
        <v>2186</v>
      </c>
      <c r="F2866" t="s">
        <v>11</v>
      </c>
    </row>
    <row r="2867" spans="1:6" x14ac:dyDescent="0.25">
      <c r="A2867" t="str">
        <f>"70816549"</f>
        <v>70816549</v>
      </c>
      <c r="B2867" t="s">
        <v>3049</v>
      </c>
      <c r="C2867" t="s">
        <v>7</v>
      </c>
      <c r="D2867" t="str">
        <f t="shared" si="98"/>
        <v>556904</v>
      </c>
      <c r="E2867" t="s">
        <v>2186</v>
      </c>
      <c r="F2867" t="s">
        <v>326</v>
      </c>
    </row>
    <row r="2868" spans="1:6" x14ac:dyDescent="0.25">
      <c r="A2868" t="str">
        <f>"70582599"</f>
        <v>70582599</v>
      </c>
      <c r="B2868" t="s">
        <v>3050</v>
      </c>
      <c r="C2868" t="s">
        <v>7</v>
      </c>
      <c r="D2868" t="str">
        <f t="shared" si="98"/>
        <v>556904</v>
      </c>
      <c r="E2868" t="s">
        <v>2186</v>
      </c>
      <c r="F2868" t="s">
        <v>379</v>
      </c>
    </row>
    <row r="2869" spans="1:6" x14ac:dyDescent="0.25">
      <c r="A2869" t="str">
        <f>"09550437"</f>
        <v>09550437</v>
      </c>
      <c r="B2869" t="s">
        <v>3051</v>
      </c>
      <c r="C2869" t="s">
        <v>7</v>
      </c>
      <c r="D2869" t="str">
        <f t="shared" si="98"/>
        <v>556904</v>
      </c>
      <c r="E2869" t="s">
        <v>2186</v>
      </c>
      <c r="F2869" t="s">
        <v>11</v>
      </c>
    </row>
    <row r="2870" spans="1:6" x14ac:dyDescent="0.25">
      <c r="A2870" t="str">
        <f>"27008371"</f>
        <v>27008371</v>
      </c>
      <c r="B2870" t="s">
        <v>3052</v>
      </c>
      <c r="C2870" t="s">
        <v>7</v>
      </c>
      <c r="D2870" t="str">
        <f t="shared" si="98"/>
        <v>556904</v>
      </c>
      <c r="E2870" t="s">
        <v>2186</v>
      </c>
      <c r="F2870" t="s">
        <v>11</v>
      </c>
    </row>
    <row r="2871" spans="1:6" x14ac:dyDescent="0.25">
      <c r="A2871" t="str">
        <f>"01181378"</f>
        <v>01181378</v>
      </c>
      <c r="B2871" t="s">
        <v>3053</v>
      </c>
      <c r="C2871" t="s">
        <v>7</v>
      </c>
      <c r="D2871" t="str">
        <f t="shared" si="98"/>
        <v>556904</v>
      </c>
      <c r="E2871" t="s">
        <v>2186</v>
      </c>
      <c r="F2871" t="s">
        <v>11</v>
      </c>
    </row>
    <row r="2872" spans="1:6" x14ac:dyDescent="0.25">
      <c r="A2872" t="str">
        <f>"26631865"</f>
        <v>26631865</v>
      </c>
      <c r="B2872" t="s">
        <v>3054</v>
      </c>
      <c r="C2872" t="s">
        <v>7</v>
      </c>
      <c r="D2872" t="str">
        <f t="shared" si="98"/>
        <v>556904</v>
      </c>
      <c r="E2872" t="s">
        <v>2186</v>
      </c>
      <c r="F2872" t="s">
        <v>11</v>
      </c>
    </row>
    <row r="2873" spans="1:6" x14ac:dyDescent="0.25">
      <c r="A2873" t="str">
        <f>"17945640"</f>
        <v>17945640</v>
      </c>
      <c r="B2873" t="s">
        <v>3055</v>
      </c>
      <c r="C2873" t="s">
        <v>7</v>
      </c>
      <c r="D2873" t="str">
        <f t="shared" si="98"/>
        <v>556904</v>
      </c>
      <c r="E2873" t="s">
        <v>2186</v>
      </c>
      <c r="F2873" t="s">
        <v>11</v>
      </c>
    </row>
    <row r="2874" spans="1:6" x14ac:dyDescent="0.25">
      <c r="A2874" t="str">
        <f>"08969752"</f>
        <v>08969752</v>
      </c>
      <c r="B2874" t="s">
        <v>3056</v>
      </c>
      <c r="C2874" t="s">
        <v>7</v>
      </c>
      <c r="D2874" t="str">
        <f t="shared" si="98"/>
        <v>556904</v>
      </c>
      <c r="E2874" t="s">
        <v>2186</v>
      </c>
      <c r="F2874" t="s">
        <v>35</v>
      </c>
    </row>
    <row r="2875" spans="1:6" x14ac:dyDescent="0.25">
      <c r="A2875" t="str">
        <f>"69387982"</f>
        <v>69387982</v>
      </c>
      <c r="B2875" t="s">
        <v>3057</v>
      </c>
      <c r="C2875" t="s">
        <v>15</v>
      </c>
      <c r="D2875" t="str">
        <f t="shared" si="98"/>
        <v>556904</v>
      </c>
      <c r="E2875" t="s">
        <v>2186</v>
      </c>
      <c r="F2875" t="s">
        <v>139</v>
      </c>
    </row>
    <row r="2876" spans="1:6" x14ac:dyDescent="0.25">
      <c r="A2876" t="str">
        <f>"69292001"</f>
        <v>69292001</v>
      </c>
      <c r="B2876" t="s">
        <v>3058</v>
      </c>
      <c r="C2876" t="s">
        <v>15</v>
      </c>
      <c r="D2876" t="str">
        <f t="shared" si="98"/>
        <v>556904</v>
      </c>
      <c r="E2876" t="s">
        <v>2186</v>
      </c>
      <c r="F2876" t="s">
        <v>139</v>
      </c>
    </row>
    <row r="2877" spans="1:6" x14ac:dyDescent="0.25">
      <c r="A2877" t="str">
        <f>"68974680"</f>
        <v>68974680</v>
      </c>
      <c r="B2877" t="s">
        <v>3059</v>
      </c>
      <c r="C2877" t="s">
        <v>15</v>
      </c>
      <c r="D2877" t="str">
        <f t="shared" si="98"/>
        <v>556904</v>
      </c>
      <c r="E2877" t="s">
        <v>2186</v>
      </c>
      <c r="F2877" t="s">
        <v>139</v>
      </c>
    </row>
    <row r="2878" spans="1:6" x14ac:dyDescent="0.25">
      <c r="A2878" t="str">
        <f>"06761186"</f>
        <v>06761186</v>
      </c>
      <c r="B2878" t="s">
        <v>3060</v>
      </c>
      <c r="C2878" t="s">
        <v>7</v>
      </c>
      <c r="D2878" t="str">
        <f t="shared" si="98"/>
        <v>556904</v>
      </c>
      <c r="E2878" t="s">
        <v>2186</v>
      </c>
      <c r="F2878" t="s">
        <v>35</v>
      </c>
    </row>
    <row r="2879" spans="1:6" x14ac:dyDescent="0.25">
      <c r="A2879" t="str">
        <f>"10956069"</f>
        <v>10956069</v>
      </c>
      <c r="B2879" t="s">
        <v>3061</v>
      </c>
      <c r="C2879" t="s">
        <v>7</v>
      </c>
      <c r="D2879" t="str">
        <f t="shared" si="98"/>
        <v>556904</v>
      </c>
      <c r="E2879" t="s">
        <v>2186</v>
      </c>
      <c r="F2879" t="s">
        <v>11</v>
      </c>
    </row>
    <row r="2880" spans="1:6" x14ac:dyDescent="0.25">
      <c r="A2880" t="str">
        <f>"08716188"</f>
        <v>08716188</v>
      </c>
      <c r="B2880" t="s">
        <v>3062</v>
      </c>
      <c r="C2880" t="s">
        <v>7</v>
      </c>
      <c r="D2880" t="str">
        <f t="shared" si="98"/>
        <v>556904</v>
      </c>
      <c r="E2880" t="s">
        <v>2186</v>
      </c>
      <c r="F2880" t="s">
        <v>29</v>
      </c>
    </row>
    <row r="2881" spans="1:6" x14ac:dyDescent="0.25">
      <c r="A2881" t="str">
        <f>"71207520"</f>
        <v>71207520</v>
      </c>
      <c r="B2881" t="s">
        <v>3063</v>
      </c>
      <c r="C2881" t="s">
        <v>15</v>
      </c>
      <c r="D2881" t="str">
        <f t="shared" si="98"/>
        <v>556904</v>
      </c>
      <c r="E2881" t="s">
        <v>2186</v>
      </c>
      <c r="F2881" t="s">
        <v>29</v>
      </c>
    </row>
    <row r="2882" spans="1:6" x14ac:dyDescent="0.25">
      <c r="A2882" t="str">
        <f>"21849471"</f>
        <v>21849471</v>
      </c>
      <c r="B2882" t="s">
        <v>3064</v>
      </c>
      <c r="C2882" t="s">
        <v>7</v>
      </c>
      <c r="D2882" t="str">
        <f t="shared" si="98"/>
        <v>556904</v>
      </c>
      <c r="E2882" t="s">
        <v>2186</v>
      </c>
      <c r="F2882" t="s">
        <v>11</v>
      </c>
    </row>
    <row r="2883" spans="1:6" x14ac:dyDescent="0.25">
      <c r="A2883" t="str">
        <f>"17607701"</f>
        <v>17607701</v>
      </c>
      <c r="B2883" t="s">
        <v>3065</v>
      </c>
      <c r="C2883" t="s">
        <v>15</v>
      </c>
      <c r="D2883" t="str">
        <f t="shared" si="98"/>
        <v>556904</v>
      </c>
      <c r="E2883" t="s">
        <v>2186</v>
      </c>
      <c r="F2883" t="s">
        <v>29</v>
      </c>
    </row>
    <row r="2884" spans="1:6" x14ac:dyDescent="0.25">
      <c r="A2884" t="str">
        <f>"23010100"</f>
        <v>23010100</v>
      </c>
      <c r="B2884" t="s">
        <v>3066</v>
      </c>
      <c r="C2884" t="s">
        <v>7</v>
      </c>
      <c r="D2884" t="str">
        <f t="shared" si="98"/>
        <v>556904</v>
      </c>
      <c r="E2884" t="s">
        <v>2186</v>
      </c>
      <c r="F2884" t="s">
        <v>11</v>
      </c>
    </row>
    <row r="2885" spans="1:6" x14ac:dyDescent="0.25">
      <c r="A2885" t="str">
        <f>"27027937"</f>
        <v>27027937</v>
      </c>
      <c r="B2885" t="s">
        <v>3067</v>
      </c>
      <c r="C2885" t="s">
        <v>7</v>
      </c>
      <c r="D2885" t="str">
        <f t="shared" si="98"/>
        <v>556904</v>
      </c>
      <c r="E2885" t="s">
        <v>2186</v>
      </c>
      <c r="F2885" t="s">
        <v>11</v>
      </c>
    </row>
    <row r="2886" spans="1:6" x14ac:dyDescent="0.25">
      <c r="A2886" t="str">
        <f>"05846480"</f>
        <v>05846480</v>
      </c>
      <c r="B2886" t="s">
        <v>3068</v>
      </c>
      <c r="C2886" t="s">
        <v>7</v>
      </c>
      <c r="D2886" t="str">
        <f t="shared" si="98"/>
        <v>556904</v>
      </c>
      <c r="E2886" t="s">
        <v>2186</v>
      </c>
      <c r="F2886" t="s">
        <v>62</v>
      </c>
    </row>
    <row r="2887" spans="1:6" x14ac:dyDescent="0.25">
      <c r="A2887" t="str">
        <f>"44224044"</f>
        <v>44224044</v>
      </c>
      <c r="B2887" t="s">
        <v>3069</v>
      </c>
      <c r="C2887" t="s">
        <v>7</v>
      </c>
      <c r="D2887" t="str">
        <f t="shared" si="98"/>
        <v>556904</v>
      </c>
      <c r="E2887" t="s">
        <v>2186</v>
      </c>
      <c r="F2887" t="s">
        <v>11</v>
      </c>
    </row>
    <row r="2888" spans="1:6" x14ac:dyDescent="0.25">
      <c r="A2888" t="str">
        <f>"05844606"</f>
        <v>05844606</v>
      </c>
      <c r="B2888" t="s">
        <v>3070</v>
      </c>
      <c r="C2888" t="s">
        <v>7</v>
      </c>
      <c r="D2888" t="str">
        <f t="shared" si="98"/>
        <v>556904</v>
      </c>
      <c r="E2888" t="s">
        <v>2186</v>
      </c>
      <c r="F2888" t="s">
        <v>62</v>
      </c>
    </row>
    <row r="2889" spans="1:6" x14ac:dyDescent="0.25">
      <c r="A2889" t="str">
        <f>"22685456"</f>
        <v>22685456</v>
      </c>
      <c r="B2889" t="s">
        <v>3071</v>
      </c>
      <c r="C2889" t="s">
        <v>7</v>
      </c>
      <c r="D2889" t="str">
        <f t="shared" si="98"/>
        <v>556904</v>
      </c>
      <c r="E2889" t="s">
        <v>2186</v>
      </c>
      <c r="F2889" t="s">
        <v>139</v>
      </c>
    </row>
    <row r="2890" spans="1:6" x14ac:dyDescent="0.25">
      <c r="A2890" t="str">
        <f>"69388512"</f>
        <v>69388512</v>
      </c>
      <c r="B2890" t="s">
        <v>3072</v>
      </c>
      <c r="C2890" t="s">
        <v>7</v>
      </c>
      <c r="D2890" t="str">
        <f t="shared" si="98"/>
        <v>556904</v>
      </c>
      <c r="E2890" t="s">
        <v>2186</v>
      </c>
      <c r="F2890" t="s">
        <v>254</v>
      </c>
    </row>
    <row r="2891" spans="1:6" x14ac:dyDescent="0.25">
      <c r="A2891" t="str">
        <f>"07154755"</f>
        <v>07154755</v>
      </c>
      <c r="B2891" t="s">
        <v>3073</v>
      </c>
      <c r="C2891" t="s">
        <v>7</v>
      </c>
      <c r="D2891" t="str">
        <f t="shared" si="98"/>
        <v>556904</v>
      </c>
      <c r="E2891" t="s">
        <v>2186</v>
      </c>
      <c r="F2891" t="s">
        <v>11</v>
      </c>
    </row>
    <row r="2892" spans="1:6" x14ac:dyDescent="0.25">
      <c r="A2892" t="str">
        <f>"22861025"</f>
        <v>22861025</v>
      </c>
      <c r="B2892" t="s">
        <v>3074</v>
      </c>
      <c r="C2892" t="s">
        <v>7</v>
      </c>
      <c r="D2892" t="str">
        <f t="shared" si="98"/>
        <v>556904</v>
      </c>
      <c r="E2892" t="s">
        <v>2186</v>
      </c>
      <c r="F2892" t="s">
        <v>11</v>
      </c>
    </row>
    <row r="2893" spans="1:6" x14ac:dyDescent="0.25">
      <c r="A2893" t="str">
        <f>"26566231"</f>
        <v>26566231</v>
      </c>
      <c r="B2893" t="s">
        <v>3075</v>
      </c>
      <c r="C2893" t="s">
        <v>7</v>
      </c>
      <c r="D2893" t="str">
        <f t="shared" si="98"/>
        <v>556904</v>
      </c>
      <c r="E2893" t="s">
        <v>2186</v>
      </c>
      <c r="F2893" t="s">
        <v>11</v>
      </c>
    </row>
    <row r="2894" spans="1:6" x14ac:dyDescent="0.25">
      <c r="A2894" t="str">
        <f>"71443363"</f>
        <v>71443363</v>
      </c>
      <c r="B2894" t="s">
        <v>3076</v>
      </c>
      <c r="C2894" t="s">
        <v>1038</v>
      </c>
      <c r="D2894" t="str">
        <f t="shared" si="98"/>
        <v>556904</v>
      </c>
      <c r="E2894" t="s">
        <v>2186</v>
      </c>
      <c r="F2894" t="s">
        <v>1039</v>
      </c>
    </row>
    <row r="2895" spans="1:6" x14ac:dyDescent="0.25">
      <c r="A2895" t="str">
        <f>"14385376"</f>
        <v>14385376</v>
      </c>
      <c r="B2895" t="s">
        <v>3077</v>
      </c>
      <c r="C2895" t="s">
        <v>7</v>
      </c>
      <c r="D2895" t="str">
        <f t="shared" si="98"/>
        <v>556904</v>
      </c>
      <c r="E2895" t="s">
        <v>2186</v>
      </c>
      <c r="F2895" t="s">
        <v>11</v>
      </c>
    </row>
    <row r="2896" spans="1:6" x14ac:dyDescent="0.25">
      <c r="A2896" t="str">
        <f>"09828095"</f>
        <v>09828095</v>
      </c>
      <c r="B2896" t="s">
        <v>3078</v>
      </c>
      <c r="C2896" t="s">
        <v>7</v>
      </c>
      <c r="D2896" t="str">
        <f t="shared" si="98"/>
        <v>556904</v>
      </c>
      <c r="E2896" t="s">
        <v>2186</v>
      </c>
      <c r="F2896" t="s">
        <v>11</v>
      </c>
    </row>
    <row r="2897" spans="1:6" x14ac:dyDescent="0.25">
      <c r="A2897" t="str">
        <f>"26637537"</f>
        <v>26637537</v>
      </c>
      <c r="B2897" t="s">
        <v>3079</v>
      </c>
      <c r="C2897" t="s">
        <v>7</v>
      </c>
      <c r="D2897" t="str">
        <f t="shared" si="98"/>
        <v>556904</v>
      </c>
      <c r="E2897" t="s">
        <v>2186</v>
      </c>
      <c r="F2897" t="s">
        <v>11</v>
      </c>
    </row>
    <row r="2898" spans="1:6" x14ac:dyDescent="0.25">
      <c r="A2898" t="str">
        <f>"22873473"</f>
        <v>22873473</v>
      </c>
      <c r="B2898" t="s">
        <v>3080</v>
      </c>
      <c r="C2898" t="s">
        <v>7</v>
      </c>
      <c r="D2898" t="str">
        <f t="shared" si="98"/>
        <v>556904</v>
      </c>
      <c r="E2898" t="s">
        <v>2186</v>
      </c>
      <c r="F2898" t="s">
        <v>11</v>
      </c>
    </row>
    <row r="2899" spans="1:6" x14ac:dyDescent="0.25">
      <c r="A2899" t="str">
        <f>"22714154"</f>
        <v>22714154</v>
      </c>
      <c r="B2899" t="s">
        <v>3081</v>
      </c>
      <c r="C2899" t="s">
        <v>7</v>
      </c>
      <c r="D2899" t="str">
        <f t="shared" si="98"/>
        <v>556904</v>
      </c>
      <c r="E2899" t="s">
        <v>2186</v>
      </c>
      <c r="F2899" t="s">
        <v>183</v>
      </c>
    </row>
    <row r="2900" spans="1:6" x14ac:dyDescent="0.25">
      <c r="A2900" t="str">
        <f>"70870357"</f>
        <v>70870357</v>
      </c>
      <c r="B2900" t="s">
        <v>3082</v>
      </c>
      <c r="C2900" t="s">
        <v>7</v>
      </c>
      <c r="D2900" t="str">
        <f t="shared" si="98"/>
        <v>556904</v>
      </c>
      <c r="E2900" t="s">
        <v>2186</v>
      </c>
      <c r="F2900" t="s">
        <v>11</v>
      </c>
    </row>
    <row r="2901" spans="1:6" x14ac:dyDescent="0.25">
      <c r="A2901" t="str">
        <f>"46745629"</f>
        <v>46745629</v>
      </c>
      <c r="B2901" t="s">
        <v>3083</v>
      </c>
      <c r="C2901" t="s">
        <v>20</v>
      </c>
      <c r="D2901" t="str">
        <f t="shared" si="98"/>
        <v>556904</v>
      </c>
      <c r="E2901" t="s">
        <v>2186</v>
      </c>
      <c r="F2901" t="s">
        <v>21</v>
      </c>
    </row>
    <row r="2902" spans="1:6" x14ac:dyDescent="0.25">
      <c r="A2902" t="str">
        <f>"22836462"</f>
        <v>22836462</v>
      </c>
      <c r="B2902" t="s">
        <v>3084</v>
      </c>
      <c r="C2902" t="s">
        <v>7</v>
      </c>
      <c r="D2902" t="str">
        <f t="shared" si="98"/>
        <v>556904</v>
      </c>
      <c r="E2902" t="s">
        <v>2186</v>
      </c>
      <c r="F2902" t="s">
        <v>11</v>
      </c>
    </row>
    <row r="2903" spans="1:6" x14ac:dyDescent="0.25">
      <c r="A2903" t="str">
        <f>"02251647"</f>
        <v>02251647</v>
      </c>
      <c r="B2903" t="s">
        <v>3085</v>
      </c>
      <c r="C2903" t="s">
        <v>7</v>
      </c>
      <c r="D2903" t="str">
        <f t="shared" si="98"/>
        <v>556904</v>
      </c>
      <c r="E2903" t="s">
        <v>2186</v>
      </c>
      <c r="F2903" t="s">
        <v>11</v>
      </c>
    </row>
    <row r="2904" spans="1:6" x14ac:dyDescent="0.25">
      <c r="A2904" t="str">
        <f>"26657520"</f>
        <v>26657520</v>
      </c>
      <c r="B2904" t="s">
        <v>3086</v>
      </c>
      <c r="C2904" t="s">
        <v>7</v>
      </c>
      <c r="D2904" t="str">
        <f t="shared" si="98"/>
        <v>556904</v>
      </c>
      <c r="E2904" t="s">
        <v>2186</v>
      </c>
      <c r="F2904" t="s">
        <v>11</v>
      </c>
    </row>
    <row r="2905" spans="1:6" x14ac:dyDescent="0.25">
      <c r="A2905" t="str">
        <f>"03385281"</f>
        <v>03385281</v>
      </c>
      <c r="B2905" t="s">
        <v>3087</v>
      </c>
      <c r="C2905" t="s">
        <v>124</v>
      </c>
      <c r="D2905" t="str">
        <f t="shared" si="98"/>
        <v>556904</v>
      </c>
      <c r="E2905" t="s">
        <v>2186</v>
      </c>
      <c r="F2905" t="s">
        <v>13</v>
      </c>
    </row>
    <row r="2906" spans="1:6" x14ac:dyDescent="0.25">
      <c r="A2906" t="str">
        <f>"19275170"</f>
        <v>19275170</v>
      </c>
      <c r="B2906" t="s">
        <v>3088</v>
      </c>
      <c r="C2906" t="s">
        <v>7</v>
      </c>
      <c r="D2906" t="str">
        <f t="shared" si="98"/>
        <v>556904</v>
      </c>
      <c r="E2906" t="s">
        <v>2186</v>
      </c>
      <c r="F2906" t="s">
        <v>29</v>
      </c>
    </row>
    <row r="2907" spans="1:6" x14ac:dyDescent="0.25">
      <c r="A2907" t="str">
        <f>"26632781"</f>
        <v>26632781</v>
      </c>
      <c r="B2907" t="s">
        <v>3089</v>
      </c>
      <c r="C2907" t="s">
        <v>7</v>
      </c>
      <c r="D2907" t="str">
        <f t="shared" si="98"/>
        <v>556904</v>
      </c>
      <c r="E2907" t="s">
        <v>2186</v>
      </c>
      <c r="F2907" t="s">
        <v>11</v>
      </c>
    </row>
    <row r="2908" spans="1:6" x14ac:dyDescent="0.25">
      <c r="A2908" t="str">
        <f>"08822867"</f>
        <v>08822867</v>
      </c>
      <c r="B2908" t="s">
        <v>3090</v>
      </c>
      <c r="C2908" t="s">
        <v>7</v>
      </c>
      <c r="D2908" t="str">
        <f t="shared" si="98"/>
        <v>556904</v>
      </c>
      <c r="E2908" t="s">
        <v>2186</v>
      </c>
      <c r="F2908" t="s">
        <v>139</v>
      </c>
    </row>
    <row r="2909" spans="1:6" x14ac:dyDescent="0.25">
      <c r="A2909" t="str">
        <f>"69411000"</f>
        <v>69411000</v>
      </c>
      <c r="B2909" t="s">
        <v>3091</v>
      </c>
      <c r="C2909" t="s">
        <v>7</v>
      </c>
      <c r="D2909" t="str">
        <f t="shared" si="98"/>
        <v>556904</v>
      </c>
      <c r="E2909" t="s">
        <v>2186</v>
      </c>
      <c r="F2909" t="s">
        <v>11</v>
      </c>
    </row>
    <row r="2910" spans="1:6" x14ac:dyDescent="0.25">
      <c r="A2910" t="str">
        <f>"26579286"</f>
        <v>26579286</v>
      </c>
      <c r="B2910" t="s">
        <v>3092</v>
      </c>
      <c r="C2910" t="s">
        <v>7</v>
      </c>
      <c r="D2910" t="str">
        <f t="shared" si="98"/>
        <v>556904</v>
      </c>
      <c r="E2910" t="s">
        <v>2186</v>
      </c>
      <c r="F2910" t="s">
        <v>11</v>
      </c>
    </row>
    <row r="2911" spans="1:6" x14ac:dyDescent="0.25">
      <c r="A2911" t="str">
        <f>"01734423"</f>
        <v>01734423</v>
      </c>
      <c r="B2911" t="s">
        <v>3093</v>
      </c>
      <c r="C2911" t="s">
        <v>7</v>
      </c>
      <c r="D2911" t="str">
        <f t="shared" si="98"/>
        <v>556904</v>
      </c>
      <c r="E2911" t="s">
        <v>2186</v>
      </c>
      <c r="F2911" t="s">
        <v>11</v>
      </c>
    </row>
    <row r="2912" spans="1:6" x14ac:dyDescent="0.25">
      <c r="A2912" t="str">
        <f>"05461642"</f>
        <v>05461642</v>
      </c>
      <c r="B2912" t="s">
        <v>3094</v>
      </c>
      <c r="C2912" t="s">
        <v>27</v>
      </c>
      <c r="D2912" t="str">
        <f t="shared" si="98"/>
        <v>556904</v>
      </c>
      <c r="E2912" t="s">
        <v>2186</v>
      </c>
      <c r="F2912" t="s">
        <v>381</v>
      </c>
    </row>
    <row r="2913" spans="1:6" x14ac:dyDescent="0.25">
      <c r="A2913" t="str">
        <f>"09721631"</f>
        <v>09721631</v>
      </c>
      <c r="B2913" t="s">
        <v>3095</v>
      </c>
      <c r="C2913" t="s">
        <v>7</v>
      </c>
      <c r="D2913" t="str">
        <f t="shared" si="98"/>
        <v>556904</v>
      </c>
      <c r="E2913" t="s">
        <v>2186</v>
      </c>
      <c r="F2913" t="s">
        <v>11</v>
      </c>
    </row>
    <row r="2914" spans="1:6" x14ac:dyDescent="0.25">
      <c r="A2914" t="str">
        <f>"26553457"</f>
        <v>26553457</v>
      </c>
      <c r="B2914" t="s">
        <v>3096</v>
      </c>
      <c r="C2914" t="s">
        <v>7</v>
      </c>
      <c r="D2914" t="str">
        <f t="shared" si="98"/>
        <v>556904</v>
      </c>
      <c r="E2914" t="s">
        <v>2186</v>
      </c>
      <c r="F2914" t="s">
        <v>18</v>
      </c>
    </row>
    <row r="2915" spans="1:6" x14ac:dyDescent="0.25">
      <c r="A2915" t="str">
        <f>"46746455"</f>
        <v>46746455</v>
      </c>
      <c r="B2915" t="s">
        <v>3097</v>
      </c>
      <c r="C2915" t="s">
        <v>7</v>
      </c>
      <c r="D2915" t="str">
        <f t="shared" si="98"/>
        <v>556904</v>
      </c>
      <c r="E2915" t="s">
        <v>2186</v>
      </c>
      <c r="F2915" t="s">
        <v>139</v>
      </c>
    </row>
    <row r="2916" spans="1:6" x14ac:dyDescent="0.25">
      <c r="A2916" t="str">
        <f>"22765905"</f>
        <v>22765905</v>
      </c>
      <c r="B2916" t="s">
        <v>3098</v>
      </c>
      <c r="C2916" t="s">
        <v>7</v>
      </c>
      <c r="D2916" t="str">
        <f t="shared" si="98"/>
        <v>556904</v>
      </c>
      <c r="E2916" t="s">
        <v>2186</v>
      </c>
      <c r="F2916" t="s">
        <v>139</v>
      </c>
    </row>
    <row r="2917" spans="1:6" x14ac:dyDescent="0.25">
      <c r="A2917" t="str">
        <f>"02224437"</f>
        <v>02224437</v>
      </c>
      <c r="B2917" t="s">
        <v>3099</v>
      </c>
      <c r="C2917" t="s">
        <v>7</v>
      </c>
      <c r="D2917" t="str">
        <f t="shared" si="98"/>
        <v>556904</v>
      </c>
      <c r="E2917" t="s">
        <v>2186</v>
      </c>
      <c r="F2917" t="s">
        <v>11</v>
      </c>
    </row>
    <row r="2918" spans="1:6" x14ac:dyDescent="0.25">
      <c r="A2918" t="str">
        <f>"22763732"</f>
        <v>22763732</v>
      </c>
      <c r="B2918" t="s">
        <v>3100</v>
      </c>
      <c r="C2918" t="s">
        <v>7</v>
      </c>
      <c r="D2918" t="str">
        <f t="shared" si="98"/>
        <v>556904</v>
      </c>
      <c r="E2918" t="s">
        <v>2186</v>
      </c>
      <c r="F2918" t="s">
        <v>11</v>
      </c>
    </row>
    <row r="2919" spans="1:6" x14ac:dyDescent="0.25">
      <c r="A2919" t="str">
        <f>"26524309"</f>
        <v>26524309</v>
      </c>
      <c r="B2919" t="s">
        <v>3101</v>
      </c>
      <c r="C2919" t="s">
        <v>7</v>
      </c>
      <c r="D2919" t="str">
        <f t="shared" si="98"/>
        <v>556904</v>
      </c>
      <c r="E2919" t="s">
        <v>2186</v>
      </c>
      <c r="F2919" t="s">
        <v>11</v>
      </c>
    </row>
    <row r="2920" spans="1:6" x14ac:dyDescent="0.25">
      <c r="A2920" t="str">
        <f>"65635426"</f>
        <v>65635426</v>
      </c>
      <c r="B2920" t="s">
        <v>3102</v>
      </c>
      <c r="C2920" t="s">
        <v>15</v>
      </c>
      <c r="D2920" t="str">
        <f t="shared" ref="D2920:D2983" si="99">"556904"</f>
        <v>556904</v>
      </c>
      <c r="E2920" t="s">
        <v>2186</v>
      </c>
      <c r="F2920" t="s">
        <v>9</v>
      </c>
    </row>
    <row r="2921" spans="1:6" x14ac:dyDescent="0.25">
      <c r="A2921" t="str">
        <f>"26526409"</f>
        <v>26526409</v>
      </c>
      <c r="B2921" t="s">
        <v>3103</v>
      </c>
      <c r="C2921" t="s">
        <v>7</v>
      </c>
      <c r="D2921" t="str">
        <f t="shared" si="99"/>
        <v>556904</v>
      </c>
      <c r="E2921" t="s">
        <v>2186</v>
      </c>
      <c r="F2921" t="s">
        <v>139</v>
      </c>
    </row>
    <row r="2922" spans="1:6" x14ac:dyDescent="0.25">
      <c r="A2922" t="str">
        <f>"70875146"</f>
        <v>70875146</v>
      </c>
      <c r="B2922" t="s">
        <v>3104</v>
      </c>
      <c r="C2922" t="s">
        <v>7</v>
      </c>
      <c r="D2922" t="str">
        <f t="shared" si="99"/>
        <v>556904</v>
      </c>
      <c r="E2922" t="s">
        <v>2186</v>
      </c>
      <c r="F2922" t="s">
        <v>11</v>
      </c>
    </row>
    <row r="2923" spans="1:6" x14ac:dyDescent="0.25">
      <c r="A2923" t="str">
        <f>"70200327"</f>
        <v>70200327</v>
      </c>
      <c r="B2923" t="s">
        <v>3105</v>
      </c>
      <c r="C2923" t="s">
        <v>15</v>
      </c>
      <c r="D2923" t="str">
        <f t="shared" si="99"/>
        <v>556904</v>
      </c>
      <c r="E2923" t="s">
        <v>2186</v>
      </c>
      <c r="F2923" t="s">
        <v>11</v>
      </c>
    </row>
    <row r="2924" spans="1:6" x14ac:dyDescent="0.25">
      <c r="A2924" t="str">
        <f>"70902984"</f>
        <v>70902984</v>
      </c>
      <c r="B2924" t="s">
        <v>3106</v>
      </c>
      <c r="C2924" t="s">
        <v>7</v>
      </c>
      <c r="D2924" t="str">
        <f t="shared" si="99"/>
        <v>556904</v>
      </c>
      <c r="E2924" t="s">
        <v>2186</v>
      </c>
      <c r="F2924" t="s">
        <v>11</v>
      </c>
    </row>
    <row r="2925" spans="1:6" x14ac:dyDescent="0.25">
      <c r="A2925" t="str">
        <f>"09312391"</f>
        <v>09312391</v>
      </c>
      <c r="B2925" t="s">
        <v>3107</v>
      </c>
      <c r="C2925" t="s">
        <v>7</v>
      </c>
      <c r="D2925" t="str">
        <f t="shared" si="99"/>
        <v>556904</v>
      </c>
      <c r="E2925" t="s">
        <v>2186</v>
      </c>
      <c r="F2925" t="s">
        <v>13</v>
      </c>
    </row>
    <row r="2926" spans="1:6" x14ac:dyDescent="0.25">
      <c r="A2926" t="str">
        <f>"04450515"</f>
        <v>04450515</v>
      </c>
      <c r="B2926" t="s">
        <v>3108</v>
      </c>
      <c r="C2926" t="s">
        <v>15</v>
      </c>
      <c r="D2926" t="str">
        <f t="shared" si="99"/>
        <v>556904</v>
      </c>
      <c r="E2926" t="s">
        <v>2186</v>
      </c>
      <c r="F2926" t="s">
        <v>11</v>
      </c>
    </row>
    <row r="2927" spans="1:6" x14ac:dyDescent="0.25">
      <c r="A2927" t="str">
        <f>"02448220"</f>
        <v>02448220</v>
      </c>
      <c r="B2927" t="s">
        <v>3109</v>
      </c>
      <c r="C2927" t="s">
        <v>7</v>
      </c>
      <c r="D2927" t="str">
        <f t="shared" si="99"/>
        <v>556904</v>
      </c>
      <c r="E2927" t="s">
        <v>2186</v>
      </c>
      <c r="F2927" t="s">
        <v>11</v>
      </c>
    </row>
    <row r="2928" spans="1:6" x14ac:dyDescent="0.25">
      <c r="A2928" t="str">
        <f>"26650681"</f>
        <v>26650681</v>
      </c>
      <c r="B2928" t="s">
        <v>3110</v>
      </c>
      <c r="C2928" t="s">
        <v>7</v>
      </c>
      <c r="D2928" t="str">
        <f t="shared" si="99"/>
        <v>556904</v>
      </c>
      <c r="E2928" t="s">
        <v>2186</v>
      </c>
      <c r="F2928" t="s">
        <v>11</v>
      </c>
    </row>
    <row r="2929" spans="1:6" x14ac:dyDescent="0.25">
      <c r="A2929" t="str">
        <f>"11957557"</f>
        <v>11957557</v>
      </c>
      <c r="B2929" t="s">
        <v>3111</v>
      </c>
      <c r="C2929" t="s">
        <v>7</v>
      </c>
      <c r="D2929" t="str">
        <f t="shared" si="99"/>
        <v>556904</v>
      </c>
      <c r="E2929" t="s">
        <v>2186</v>
      </c>
      <c r="F2929" t="s">
        <v>139</v>
      </c>
    </row>
    <row r="2930" spans="1:6" x14ac:dyDescent="0.25">
      <c r="A2930" t="str">
        <f>"65100786"</f>
        <v>65100786</v>
      </c>
      <c r="B2930" t="s">
        <v>3112</v>
      </c>
      <c r="C2930" t="s">
        <v>7</v>
      </c>
      <c r="D2930" t="str">
        <f t="shared" si="99"/>
        <v>556904</v>
      </c>
      <c r="E2930" t="s">
        <v>2186</v>
      </c>
      <c r="F2930" t="s">
        <v>9</v>
      </c>
    </row>
    <row r="2931" spans="1:6" x14ac:dyDescent="0.25">
      <c r="A2931" t="str">
        <f>"27022773"</f>
        <v>27022773</v>
      </c>
      <c r="B2931" t="s">
        <v>3113</v>
      </c>
      <c r="C2931" t="s">
        <v>7</v>
      </c>
      <c r="D2931" t="str">
        <f t="shared" si="99"/>
        <v>556904</v>
      </c>
      <c r="E2931" t="s">
        <v>2186</v>
      </c>
      <c r="F2931" t="s">
        <v>29</v>
      </c>
    </row>
    <row r="2932" spans="1:6" x14ac:dyDescent="0.25">
      <c r="A2932" t="str">
        <f>"05404029"</f>
        <v>05404029</v>
      </c>
      <c r="B2932" t="s">
        <v>3114</v>
      </c>
      <c r="C2932" t="s">
        <v>7</v>
      </c>
      <c r="D2932" t="str">
        <f t="shared" si="99"/>
        <v>556904</v>
      </c>
      <c r="E2932" t="s">
        <v>2186</v>
      </c>
      <c r="F2932" t="s">
        <v>11</v>
      </c>
    </row>
    <row r="2933" spans="1:6" x14ac:dyDescent="0.25">
      <c r="A2933" t="str">
        <f>"22750797"</f>
        <v>22750797</v>
      </c>
      <c r="B2933" t="s">
        <v>3115</v>
      </c>
      <c r="C2933" t="s">
        <v>7</v>
      </c>
      <c r="D2933" t="str">
        <f t="shared" si="99"/>
        <v>556904</v>
      </c>
      <c r="E2933" t="s">
        <v>2186</v>
      </c>
      <c r="F2933" t="s">
        <v>18</v>
      </c>
    </row>
    <row r="2934" spans="1:6" x14ac:dyDescent="0.25">
      <c r="A2934" t="str">
        <f>"22845861"</f>
        <v>22845861</v>
      </c>
      <c r="B2934" t="s">
        <v>3116</v>
      </c>
      <c r="C2934" t="s">
        <v>7</v>
      </c>
      <c r="D2934" t="str">
        <f t="shared" si="99"/>
        <v>556904</v>
      </c>
      <c r="E2934" t="s">
        <v>2186</v>
      </c>
      <c r="F2934" t="s">
        <v>139</v>
      </c>
    </row>
    <row r="2935" spans="1:6" x14ac:dyDescent="0.25">
      <c r="A2935" t="str">
        <f>"01250981"</f>
        <v>01250981</v>
      </c>
      <c r="B2935" t="s">
        <v>3117</v>
      </c>
      <c r="C2935" t="s">
        <v>7</v>
      </c>
      <c r="D2935" t="str">
        <f t="shared" si="99"/>
        <v>556904</v>
      </c>
      <c r="E2935" t="s">
        <v>2186</v>
      </c>
      <c r="F2935" t="s">
        <v>11</v>
      </c>
    </row>
    <row r="2936" spans="1:6" x14ac:dyDescent="0.25">
      <c r="A2936" t="str">
        <f>"05512808"</f>
        <v>05512808</v>
      </c>
      <c r="B2936" t="s">
        <v>3118</v>
      </c>
      <c r="C2936" t="s">
        <v>7</v>
      </c>
      <c r="D2936" t="str">
        <f t="shared" si="99"/>
        <v>556904</v>
      </c>
      <c r="E2936" t="s">
        <v>2186</v>
      </c>
      <c r="F2936" t="s">
        <v>62</v>
      </c>
    </row>
    <row r="2937" spans="1:6" x14ac:dyDescent="0.25">
      <c r="A2937" t="str">
        <f>"22688200"</f>
        <v>22688200</v>
      </c>
      <c r="B2937" t="s">
        <v>3119</v>
      </c>
      <c r="C2937" t="s">
        <v>7</v>
      </c>
      <c r="D2937" t="str">
        <f t="shared" si="99"/>
        <v>556904</v>
      </c>
      <c r="E2937" t="s">
        <v>2186</v>
      </c>
      <c r="F2937" t="s">
        <v>11</v>
      </c>
    </row>
    <row r="2938" spans="1:6" x14ac:dyDescent="0.25">
      <c r="A2938" t="str">
        <f>"26648601"</f>
        <v>26648601</v>
      </c>
      <c r="B2938" t="s">
        <v>3120</v>
      </c>
      <c r="C2938" t="s">
        <v>7</v>
      </c>
      <c r="D2938" t="str">
        <f t="shared" si="99"/>
        <v>556904</v>
      </c>
      <c r="E2938" t="s">
        <v>2186</v>
      </c>
      <c r="F2938" t="s">
        <v>11</v>
      </c>
    </row>
    <row r="2939" spans="1:6" x14ac:dyDescent="0.25">
      <c r="A2939" t="str">
        <f>"22734597"</f>
        <v>22734597</v>
      </c>
      <c r="B2939" t="s">
        <v>3121</v>
      </c>
      <c r="C2939" t="s">
        <v>7</v>
      </c>
      <c r="D2939" t="str">
        <f t="shared" si="99"/>
        <v>556904</v>
      </c>
      <c r="E2939" t="s">
        <v>2186</v>
      </c>
      <c r="F2939" t="s">
        <v>11</v>
      </c>
    </row>
    <row r="2940" spans="1:6" x14ac:dyDescent="0.25">
      <c r="A2940" t="str">
        <f>"72019816"</f>
        <v>72019816</v>
      </c>
      <c r="B2940" t="s">
        <v>3122</v>
      </c>
      <c r="C2940" t="s">
        <v>15</v>
      </c>
      <c r="D2940" t="str">
        <f t="shared" si="99"/>
        <v>556904</v>
      </c>
      <c r="E2940" t="s">
        <v>2186</v>
      </c>
      <c r="F2940" t="s">
        <v>11</v>
      </c>
    </row>
    <row r="2941" spans="1:6" x14ac:dyDescent="0.25">
      <c r="A2941" t="str">
        <f>"26517841"</f>
        <v>26517841</v>
      </c>
      <c r="B2941" t="s">
        <v>3123</v>
      </c>
      <c r="C2941" t="s">
        <v>7</v>
      </c>
      <c r="D2941" t="str">
        <f t="shared" si="99"/>
        <v>556904</v>
      </c>
      <c r="E2941" t="s">
        <v>2186</v>
      </c>
      <c r="F2941" t="s">
        <v>424</v>
      </c>
    </row>
    <row r="2942" spans="1:6" x14ac:dyDescent="0.25">
      <c r="A2942" t="str">
        <f>"03757595"</f>
        <v>03757595</v>
      </c>
      <c r="B2942" t="s">
        <v>3124</v>
      </c>
      <c r="C2942" t="s">
        <v>7</v>
      </c>
      <c r="D2942" t="str">
        <f t="shared" si="99"/>
        <v>556904</v>
      </c>
      <c r="E2942" t="s">
        <v>2186</v>
      </c>
      <c r="F2942" t="s">
        <v>18</v>
      </c>
    </row>
    <row r="2943" spans="1:6" x14ac:dyDescent="0.25">
      <c r="A2943" t="str">
        <f>"69898782"</f>
        <v>69898782</v>
      </c>
      <c r="B2943" t="s">
        <v>3125</v>
      </c>
      <c r="C2943" t="s">
        <v>7</v>
      </c>
      <c r="D2943" t="str">
        <f t="shared" si="99"/>
        <v>556904</v>
      </c>
      <c r="E2943" t="s">
        <v>2186</v>
      </c>
      <c r="F2943" t="s">
        <v>11</v>
      </c>
    </row>
    <row r="2944" spans="1:6" x14ac:dyDescent="0.25">
      <c r="A2944" t="str">
        <f>"46747869"</f>
        <v>46747869</v>
      </c>
      <c r="B2944" t="s">
        <v>3126</v>
      </c>
      <c r="C2944" t="s">
        <v>7</v>
      </c>
      <c r="D2944" t="str">
        <f t="shared" si="99"/>
        <v>556904</v>
      </c>
      <c r="E2944" t="s">
        <v>2186</v>
      </c>
      <c r="F2944" t="s">
        <v>11</v>
      </c>
    </row>
    <row r="2945" spans="1:6" x14ac:dyDescent="0.25">
      <c r="A2945" t="str">
        <f>"22679316"</f>
        <v>22679316</v>
      </c>
      <c r="B2945" t="s">
        <v>3127</v>
      </c>
      <c r="C2945" t="s">
        <v>7</v>
      </c>
      <c r="D2945" t="str">
        <f t="shared" si="99"/>
        <v>556904</v>
      </c>
      <c r="E2945" t="s">
        <v>2186</v>
      </c>
      <c r="F2945" t="s">
        <v>11</v>
      </c>
    </row>
    <row r="2946" spans="1:6" x14ac:dyDescent="0.25">
      <c r="A2946" t="str">
        <f>"46744398"</f>
        <v>46744398</v>
      </c>
      <c r="B2946" t="s">
        <v>3128</v>
      </c>
      <c r="C2946" t="s">
        <v>7</v>
      </c>
      <c r="D2946" t="str">
        <f t="shared" si="99"/>
        <v>556904</v>
      </c>
      <c r="E2946" t="s">
        <v>2186</v>
      </c>
      <c r="F2946" t="s">
        <v>11</v>
      </c>
    </row>
    <row r="2947" spans="1:6" x14ac:dyDescent="0.25">
      <c r="A2947" t="str">
        <f>"72019832"</f>
        <v>72019832</v>
      </c>
      <c r="B2947" t="s">
        <v>3129</v>
      </c>
      <c r="C2947" t="s">
        <v>15</v>
      </c>
      <c r="D2947" t="str">
        <f t="shared" si="99"/>
        <v>556904</v>
      </c>
      <c r="E2947" t="s">
        <v>2186</v>
      </c>
      <c r="F2947" t="s">
        <v>11</v>
      </c>
    </row>
    <row r="2948" spans="1:6" x14ac:dyDescent="0.25">
      <c r="A2948" t="str">
        <f>"72019824"</f>
        <v>72019824</v>
      </c>
      <c r="B2948" t="s">
        <v>3130</v>
      </c>
      <c r="C2948" t="s">
        <v>15</v>
      </c>
      <c r="D2948" t="str">
        <f t="shared" si="99"/>
        <v>556904</v>
      </c>
      <c r="E2948" t="s">
        <v>2186</v>
      </c>
      <c r="F2948" t="s">
        <v>11</v>
      </c>
    </row>
    <row r="2949" spans="1:6" x14ac:dyDescent="0.25">
      <c r="A2949" t="str">
        <f>"75150441"</f>
        <v>75150441</v>
      </c>
      <c r="B2949" t="s">
        <v>3131</v>
      </c>
      <c r="C2949" t="s">
        <v>15</v>
      </c>
      <c r="D2949" t="str">
        <f t="shared" si="99"/>
        <v>556904</v>
      </c>
      <c r="E2949" t="s">
        <v>2186</v>
      </c>
      <c r="F2949" t="s">
        <v>11</v>
      </c>
    </row>
    <row r="2950" spans="1:6" x14ac:dyDescent="0.25">
      <c r="A2950" t="str">
        <f>"72019701"</f>
        <v>72019701</v>
      </c>
      <c r="B2950" t="s">
        <v>3132</v>
      </c>
      <c r="C2950" t="s">
        <v>15</v>
      </c>
      <c r="D2950" t="str">
        <f t="shared" si="99"/>
        <v>556904</v>
      </c>
      <c r="E2950" t="s">
        <v>2186</v>
      </c>
      <c r="F2950" t="s">
        <v>13</v>
      </c>
    </row>
    <row r="2951" spans="1:6" x14ac:dyDescent="0.25">
      <c r="A2951" t="str">
        <f>"75150450"</f>
        <v>75150450</v>
      </c>
      <c r="B2951" t="s">
        <v>3133</v>
      </c>
      <c r="C2951" t="s">
        <v>15</v>
      </c>
      <c r="D2951" t="str">
        <f t="shared" si="99"/>
        <v>556904</v>
      </c>
      <c r="E2951" t="s">
        <v>2186</v>
      </c>
      <c r="F2951" t="s">
        <v>11</v>
      </c>
    </row>
    <row r="2952" spans="1:6" x14ac:dyDescent="0.25">
      <c r="A2952" t="str">
        <f>"72019751"</f>
        <v>72019751</v>
      </c>
      <c r="B2952" t="s">
        <v>3134</v>
      </c>
      <c r="C2952" t="s">
        <v>15</v>
      </c>
      <c r="D2952" t="str">
        <f t="shared" si="99"/>
        <v>556904</v>
      </c>
      <c r="E2952" t="s">
        <v>2186</v>
      </c>
      <c r="F2952" t="s">
        <v>11</v>
      </c>
    </row>
    <row r="2953" spans="1:6" x14ac:dyDescent="0.25">
      <c r="A2953" t="str">
        <f>"72019808"</f>
        <v>72019808</v>
      </c>
      <c r="B2953" t="s">
        <v>3135</v>
      </c>
      <c r="C2953" t="s">
        <v>15</v>
      </c>
      <c r="D2953" t="str">
        <f t="shared" si="99"/>
        <v>556904</v>
      </c>
      <c r="E2953" t="s">
        <v>2186</v>
      </c>
      <c r="F2953" t="s">
        <v>11</v>
      </c>
    </row>
    <row r="2954" spans="1:6" x14ac:dyDescent="0.25">
      <c r="A2954" t="str">
        <f>"72019735"</f>
        <v>72019735</v>
      </c>
      <c r="B2954" t="s">
        <v>3136</v>
      </c>
      <c r="C2954" t="s">
        <v>15</v>
      </c>
      <c r="D2954" t="str">
        <f t="shared" si="99"/>
        <v>556904</v>
      </c>
      <c r="E2954" t="s">
        <v>2186</v>
      </c>
      <c r="F2954" t="s">
        <v>11</v>
      </c>
    </row>
    <row r="2955" spans="1:6" x14ac:dyDescent="0.25">
      <c r="A2955" t="str">
        <f>"72019727"</f>
        <v>72019727</v>
      </c>
      <c r="B2955" t="s">
        <v>3137</v>
      </c>
      <c r="C2955" t="s">
        <v>15</v>
      </c>
      <c r="D2955" t="str">
        <f t="shared" si="99"/>
        <v>556904</v>
      </c>
      <c r="E2955" t="s">
        <v>2186</v>
      </c>
      <c r="F2955" t="s">
        <v>11</v>
      </c>
    </row>
    <row r="2956" spans="1:6" x14ac:dyDescent="0.25">
      <c r="A2956" t="str">
        <f>"75150433"</f>
        <v>75150433</v>
      </c>
      <c r="B2956" t="s">
        <v>3138</v>
      </c>
      <c r="C2956" t="s">
        <v>15</v>
      </c>
      <c r="D2956" t="str">
        <f t="shared" si="99"/>
        <v>556904</v>
      </c>
      <c r="E2956" t="s">
        <v>2186</v>
      </c>
      <c r="F2956" t="s">
        <v>11</v>
      </c>
    </row>
    <row r="2957" spans="1:6" x14ac:dyDescent="0.25">
      <c r="A2957" t="str">
        <f>"72019794"</f>
        <v>72019794</v>
      </c>
      <c r="B2957" t="s">
        <v>3139</v>
      </c>
      <c r="C2957" t="s">
        <v>15</v>
      </c>
      <c r="D2957" t="str">
        <f t="shared" si="99"/>
        <v>556904</v>
      </c>
      <c r="E2957" t="s">
        <v>2186</v>
      </c>
      <c r="F2957" t="s">
        <v>11</v>
      </c>
    </row>
    <row r="2958" spans="1:6" x14ac:dyDescent="0.25">
      <c r="A2958" t="str">
        <f>"72019786"</f>
        <v>72019786</v>
      </c>
      <c r="B2958" t="s">
        <v>3140</v>
      </c>
      <c r="C2958" t="s">
        <v>15</v>
      </c>
      <c r="D2958" t="str">
        <f t="shared" si="99"/>
        <v>556904</v>
      </c>
      <c r="E2958" t="s">
        <v>2186</v>
      </c>
      <c r="F2958" t="s">
        <v>11</v>
      </c>
    </row>
    <row r="2959" spans="1:6" x14ac:dyDescent="0.25">
      <c r="A2959" t="str">
        <f>"72019743"</f>
        <v>72019743</v>
      </c>
      <c r="B2959" t="s">
        <v>3141</v>
      </c>
      <c r="C2959" t="s">
        <v>15</v>
      </c>
      <c r="D2959" t="str">
        <f t="shared" si="99"/>
        <v>556904</v>
      </c>
      <c r="E2959" t="s">
        <v>2186</v>
      </c>
      <c r="F2959" t="s">
        <v>11</v>
      </c>
    </row>
    <row r="2960" spans="1:6" x14ac:dyDescent="0.25">
      <c r="A2960" t="str">
        <f>"72019719"</f>
        <v>72019719</v>
      </c>
      <c r="B2960" t="s">
        <v>3142</v>
      </c>
      <c r="C2960" t="s">
        <v>15</v>
      </c>
      <c r="D2960" t="str">
        <f t="shared" si="99"/>
        <v>556904</v>
      </c>
      <c r="E2960" t="s">
        <v>2186</v>
      </c>
      <c r="F2960" t="s">
        <v>11</v>
      </c>
    </row>
    <row r="2961" spans="1:6" x14ac:dyDescent="0.25">
      <c r="A2961" t="str">
        <f>"75150468"</f>
        <v>75150468</v>
      </c>
      <c r="B2961" t="s">
        <v>3143</v>
      </c>
      <c r="C2961" t="s">
        <v>15</v>
      </c>
      <c r="D2961" t="str">
        <f t="shared" si="99"/>
        <v>556904</v>
      </c>
      <c r="E2961" t="s">
        <v>2186</v>
      </c>
      <c r="F2961" t="s">
        <v>11</v>
      </c>
    </row>
    <row r="2962" spans="1:6" x14ac:dyDescent="0.25">
      <c r="A2962" t="str">
        <f>"69388334"</f>
        <v>69388334</v>
      </c>
      <c r="B2962" t="s">
        <v>3144</v>
      </c>
      <c r="C2962" t="s">
        <v>7</v>
      </c>
      <c r="D2962" t="str">
        <f t="shared" si="99"/>
        <v>556904</v>
      </c>
      <c r="E2962" t="s">
        <v>2186</v>
      </c>
      <c r="F2962" t="s">
        <v>11</v>
      </c>
    </row>
    <row r="2963" spans="1:6" x14ac:dyDescent="0.25">
      <c r="A2963" t="str">
        <f>"26573105"</f>
        <v>26573105</v>
      </c>
      <c r="B2963" t="s">
        <v>3145</v>
      </c>
      <c r="C2963" t="s">
        <v>7</v>
      </c>
      <c r="D2963" t="str">
        <f t="shared" si="99"/>
        <v>556904</v>
      </c>
      <c r="E2963" t="s">
        <v>2186</v>
      </c>
      <c r="F2963" t="s">
        <v>18</v>
      </c>
    </row>
    <row r="2964" spans="1:6" x14ac:dyDescent="0.25">
      <c r="A2964" t="str">
        <f>"22766570"</f>
        <v>22766570</v>
      </c>
      <c r="B2964" t="s">
        <v>3146</v>
      </c>
      <c r="C2964" t="s">
        <v>7</v>
      </c>
      <c r="D2964" t="str">
        <f t="shared" si="99"/>
        <v>556904</v>
      </c>
      <c r="E2964" t="s">
        <v>2186</v>
      </c>
      <c r="F2964" t="s">
        <v>35</v>
      </c>
    </row>
    <row r="2965" spans="1:6" x14ac:dyDescent="0.25">
      <c r="A2965" t="str">
        <f>"04354338"</f>
        <v>04354338</v>
      </c>
      <c r="B2965" t="s">
        <v>3147</v>
      </c>
      <c r="C2965" t="s">
        <v>7</v>
      </c>
      <c r="D2965" t="str">
        <f t="shared" si="99"/>
        <v>556904</v>
      </c>
      <c r="E2965" t="s">
        <v>2186</v>
      </c>
      <c r="F2965" t="s">
        <v>13</v>
      </c>
    </row>
    <row r="2966" spans="1:6" x14ac:dyDescent="0.25">
      <c r="A2966" t="str">
        <f>"22802240"</f>
        <v>22802240</v>
      </c>
      <c r="B2966" t="s">
        <v>3148</v>
      </c>
      <c r="C2966" t="s">
        <v>78</v>
      </c>
      <c r="D2966" t="str">
        <f t="shared" si="99"/>
        <v>556904</v>
      </c>
      <c r="E2966" t="s">
        <v>2186</v>
      </c>
      <c r="F2966" t="s">
        <v>160</v>
      </c>
    </row>
    <row r="2967" spans="1:6" x14ac:dyDescent="0.25">
      <c r="A2967" t="str">
        <f>"04822706"</f>
        <v>04822706</v>
      </c>
      <c r="B2967" t="s">
        <v>3149</v>
      </c>
      <c r="C2967" t="s">
        <v>7</v>
      </c>
      <c r="D2967" t="str">
        <f t="shared" si="99"/>
        <v>556904</v>
      </c>
      <c r="E2967" t="s">
        <v>2186</v>
      </c>
      <c r="F2967" t="s">
        <v>11</v>
      </c>
    </row>
    <row r="2968" spans="1:6" x14ac:dyDescent="0.25">
      <c r="A2968" t="str">
        <f>"09244093"</f>
        <v>09244093</v>
      </c>
      <c r="B2968" t="s">
        <v>3150</v>
      </c>
      <c r="C2968" t="s">
        <v>7</v>
      </c>
      <c r="D2968" t="str">
        <f t="shared" si="99"/>
        <v>556904</v>
      </c>
      <c r="E2968" t="s">
        <v>2186</v>
      </c>
      <c r="F2968" t="s">
        <v>11</v>
      </c>
    </row>
    <row r="2969" spans="1:6" x14ac:dyDescent="0.25">
      <c r="A2969" t="str">
        <f>"25447726"</f>
        <v>25447726</v>
      </c>
      <c r="B2969" t="s">
        <v>3151</v>
      </c>
      <c r="C2969" t="s">
        <v>78</v>
      </c>
      <c r="D2969" t="str">
        <f t="shared" si="99"/>
        <v>556904</v>
      </c>
      <c r="E2969" t="s">
        <v>2186</v>
      </c>
      <c r="F2969" t="s">
        <v>268</v>
      </c>
    </row>
    <row r="2970" spans="1:6" x14ac:dyDescent="0.25">
      <c r="A2970" t="str">
        <f>"19525737"</f>
        <v>19525737</v>
      </c>
      <c r="B2970" t="s">
        <v>3152</v>
      </c>
      <c r="C2970" t="s">
        <v>7</v>
      </c>
      <c r="D2970" t="str">
        <f t="shared" si="99"/>
        <v>556904</v>
      </c>
      <c r="E2970" t="s">
        <v>2186</v>
      </c>
      <c r="F2970" t="s">
        <v>11</v>
      </c>
    </row>
    <row r="2971" spans="1:6" x14ac:dyDescent="0.25">
      <c r="A2971" t="str">
        <f>"64040453"</f>
        <v>64040453</v>
      </c>
      <c r="B2971" t="s">
        <v>3153</v>
      </c>
      <c r="C2971" t="s">
        <v>7</v>
      </c>
      <c r="D2971" t="str">
        <f t="shared" si="99"/>
        <v>556904</v>
      </c>
      <c r="E2971" t="s">
        <v>2186</v>
      </c>
      <c r="F2971" t="s">
        <v>381</v>
      </c>
    </row>
    <row r="2972" spans="1:6" x14ac:dyDescent="0.25">
      <c r="A2972" t="str">
        <f>"26527791"</f>
        <v>26527791</v>
      </c>
      <c r="B2972" t="s">
        <v>3154</v>
      </c>
      <c r="C2972" t="s">
        <v>7</v>
      </c>
      <c r="D2972" t="str">
        <f t="shared" si="99"/>
        <v>556904</v>
      </c>
      <c r="E2972" t="s">
        <v>2186</v>
      </c>
      <c r="F2972" t="s">
        <v>11</v>
      </c>
    </row>
    <row r="2973" spans="1:6" x14ac:dyDescent="0.25">
      <c r="A2973" t="str">
        <f>"08407304"</f>
        <v>08407304</v>
      </c>
      <c r="B2973" t="s">
        <v>3155</v>
      </c>
      <c r="C2973" t="s">
        <v>7</v>
      </c>
      <c r="D2973" t="str">
        <f t="shared" si="99"/>
        <v>556904</v>
      </c>
      <c r="E2973" t="s">
        <v>2186</v>
      </c>
      <c r="F2973" t="s">
        <v>18</v>
      </c>
    </row>
    <row r="2974" spans="1:6" x14ac:dyDescent="0.25">
      <c r="A2974" t="str">
        <f>"26555832"</f>
        <v>26555832</v>
      </c>
      <c r="B2974" t="s">
        <v>3156</v>
      </c>
      <c r="C2974" t="s">
        <v>7</v>
      </c>
      <c r="D2974" t="str">
        <f t="shared" si="99"/>
        <v>556904</v>
      </c>
      <c r="E2974" t="s">
        <v>2186</v>
      </c>
      <c r="F2974" t="s">
        <v>11</v>
      </c>
    </row>
    <row r="2975" spans="1:6" x14ac:dyDescent="0.25">
      <c r="A2975" t="str">
        <f>"21301051"</f>
        <v>21301051</v>
      </c>
      <c r="B2975" t="s">
        <v>3157</v>
      </c>
      <c r="C2975" t="s">
        <v>124</v>
      </c>
      <c r="D2975" t="str">
        <f t="shared" si="99"/>
        <v>556904</v>
      </c>
      <c r="E2975" t="s">
        <v>2186</v>
      </c>
      <c r="F2975" t="s">
        <v>11</v>
      </c>
    </row>
    <row r="2976" spans="1:6" x14ac:dyDescent="0.25">
      <c r="A2976" t="str">
        <f>"27037860"</f>
        <v>27037860</v>
      </c>
      <c r="B2976" t="s">
        <v>3158</v>
      </c>
      <c r="C2976" t="s">
        <v>7</v>
      </c>
      <c r="D2976" t="str">
        <f t="shared" si="99"/>
        <v>556904</v>
      </c>
      <c r="E2976" t="s">
        <v>2186</v>
      </c>
      <c r="F2976" t="s">
        <v>328</v>
      </c>
    </row>
    <row r="2977" spans="1:6" x14ac:dyDescent="0.25">
      <c r="A2977" t="str">
        <f>"46747931"</f>
        <v>46747931</v>
      </c>
      <c r="B2977" t="s">
        <v>3159</v>
      </c>
      <c r="C2977" t="s">
        <v>7</v>
      </c>
      <c r="D2977" t="str">
        <f t="shared" si="99"/>
        <v>556904</v>
      </c>
      <c r="E2977" t="s">
        <v>2186</v>
      </c>
      <c r="F2977" t="s">
        <v>11</v>
      </c>
    </row>
    <row r="2978" spans="1:6" x14ac:dyDescent="0.25">
      <c r="A2978" t="str">
        <f>"46746277"</f>
        <v>46746277</v>
      </c>
      <c r="B2978" t="s">
        <v>3160</v>
      </c>
      <c r="C2978" t="s">
        <v>7</v>
      </c>
      <c r="D2978" t="str">
        <f t="shared" si="99"/>
        <v>556904</v>
      </c>
      <c r="E2978" t="s">
        <v>2186</v>
      </c>
      <c r="F2978" t="s">
        <v>11</v>
      </c>
    </row>
    <row r="2979" spans="1:6" x14ac:dyDescent="0.25">
      <c r="A2979" t="str">
        <f>"26569183"</f>
        <v>26569183</v>
      </c>
      <c r="B2979" t="s">
        <v>3161</v>
      </c>
      <c r="C2979" t="s">
        <v>7</v>
      </c>
      <c r="D2979" t="str">
        <f t="shared" si="99"/>
        <v>556904</v>
      </c>
      <c r="E2979" t="s">
        <v>2186</v>
      </c>
      <c r="F2979" t="s">
        <v>11</v>
      </c>
    </row>
    <row r="2980" spans="1:6" x14ac:dyDescent="0.25">
      <c r="A2980" t="str">
        <f>"46749934"</f>
        <v>46749934</v>
      </c>
      <c r="B2980" t="s">
        <v>3162</v>
      </c>
      <c r="C2980" t="s">
        <v>7</v>
      </c>
      <c r="D2980" t="str">
        <f t="shared" si="99"/>
        <v>556904</v>
      </c>
      <c r="E2980" t="s">
        <v>2186</v>
      </c>
      <c r="F2980" t="s">
        <v>11</v>
      </c>
    </row>
    <row r="2981" spans="1:6" x14ac:dyDescent="0.25">
      <c r="A2981" t="str">
        <f>"07716427"</f>
        <v>07716427</v>
      </c>
      <c r="B2981" t="s">
        <v>3163</v>
      </c>
      <c r="C2981" t="s">
        <v>7</v>
      </c>
      <c r="D2981" t="str">
        <f t="shared" si="99"/>
        <v>556904</v>
      </c>
      <c r="E2981" t="s">
        <v>2186</v>
      </c>
      <c r="F2981" t="s">
        <v>11</v>
      </c>
    </row>
    <row r="2982" spans="1:6" x14ac:dyDescent="0.25">
      <c r="A2982" t="str">
        <f>"05579066"</f>
        <v>05579066</v>
      </c>
      <c r="B2982" t="s">
        <v>3164</v>
      </c>
      <c r="C2982" t="s">
        <v>7</v>
      </c>
      <c r="D2982" t="str">
        <f t="shared" si="99"/>
        <v>556904</v>
      </c>
      <c r="E2982" t="s">
        <v>2186</v>
      </c>
      <c r="F2982" t="s">
        <v>58</v>
      </c>
    </row>
    <row r="2983" spans="1:6" x14ac:dyDescent="0.25">
      <c r="A2983" t="str">
        <f>"05185343"</f>
        <v>05185343</v>
      </c>
      <c r="B2983" t="s">
        <v>3165</v>
      </c>
      <c r="C2983" t="s">
        <v>7</v>
      </c>
      <c r="D2983" t="str">
        <f t="shared" si="99"/>
        <v>556904</v>
      </c>
      <c r="E2983" t="s">
        <v>2186</v>
      </c>
      <c r="F2983" t="s">
        <v>65</v>
      </c>
    </row>
    <row r="2984" spans="1:6" x14ac:dyDescent="0.25">
      <c r="A2984" t="str">
        <f>"46745114"</f>
        <v>46745114</v>
      </c>
      <c r="B2984" t="s">
        <v>3166</v>
      </c>
      <c r="C2984" t="s">
        <v>7</v>
      </c>
      <c r="D2984" t="str">
        <f t="shared" ref="D2984:D3047" si="100">"556904"</f>
        <v>556904</v>
      </c>
      <c r="E2984" t="s">
        <v>2186</v>
      </c>
      <c r="F2984" t="s">
        <v>139</v>
      </c>
    </row>
    <row r="2985" spans="1:6" x14ac:dyDescent="0.25">
      <c r="A2985" t="str">
        <f>"69387869"</f>
        <v>69387869</v>
      </c>
      <c r="B2985" t="s">
        <v>3167</v>
      </c>
      <c r="C2985" t="s">
        <v>7</v>
      </c>
      <c r="D2985" t="str">
        <f t="shared" si="100"/>
        <v>556904</v>
      </c>
      <c r="E2985" t="s">
        <v>2186</v>
      </c>
      <c r="F2985" t="s">
        <v>254</v>
      </c>
    </row>
    <row r="2986" spans="1:6" x14ac:dyDescent="0.25">
      <c r="A2986" t="str">
        <f>"69400784"</f>
        <v>69400784</v>
      </c>
      <c r="B2986" t="s">
        <v>3168</v>
      </c>
      <c r="C2986" t="s">
        <v>7</v>
      </c>
      <c r="D2986" t="str">
        <f t="shared" si="100"/>
        <v>556904</v>
      </c>
      <c r="E2986" t="s">
        <v>2186</v>
      </c>
      <c r="F2986" t="s">
        <v>254</v>
      </c>
    </row>
    <row r="2987" spans="1:6" x14ac:dyDescent="0.25">
      <c r="A2987" t="str">
        <f>"06242855"</f>
        <v>06242855</v>
      </c>
      <c r="B2987" t="s">
        <v>3169</v>
      </c>
      <c r="C2987" t="s">
        <v>7</v>
      </c>
      <c r="D2987" t="str">
        <f t="shared" si="100"/>
        <v>556904</v>
      </c>
      <c r="E2987" t="s">
        <v>2186</v>
      </c>
      <c r="F2987" t="s">
        <v>62</v>
      </c>
    </row>
    <row r="2988" spans="1:6" x14ac:dyDescent="0.25">
      <c r="A2988" t="str">
        <f>"06665993"</f>
        <v>06665993</v>
      </c>
      <c r="B2988" t="s">
        <v>3170</v>
      </c>
      <c r="C2988" t="s">
        <v>7</v>
      </c>
      <c r="D2988" t="str">
        <f t="shared" si="100"/>
        <v>556904</v>
      </c>
      <c r="E2988" t="s">
        <v>2186</v>
      </c>
      <c r="F2988" t="s">
        <v>11</v>
      </c>
    </row>
    <row r="2989" spans="1:6" x14ac:dyDescent="0.25">
      <c r="A2989" t="str">
        <f>"26667100"</f>
        <v>26667100</v>
      </c>
      <c r="B2989" t="s">
        <v>3171</v>
      </c>
      <c r="C2989" t="s">
        <v>7</v>
      </c>
      <c r="D2989" t="str">
        <f t="shared" si="100"/>
        <v>556904</v>
      </c>
      <c r="E2989" t="s">
        <v>2186</v>
      </c>
      <c r="F2989" t="s">
        <v>11</v>
      </c>
    </row>
    <row r="2990" spans="1:6" x14ac:dyDescent="0.25">
      <c r="A2990" t="str">
        <f>"27000184"</f>
        <v>27000184</v>
      </c>
      <c r="B2990" t="s">
        <v>3172</v>
      </c>
      <c r="C2990" t="s">
        <v>7</v>
      </c>
      <c r="D2990" t="str">
        <f t="shared" si="100"/>
        <v>556904</v>
      </c>
      <c r="E2990" t="s">
        <v>2186</v>
      </c>
      <c r="F2990" t="s">
        <v>11</v>
      </c>
    </row>
    <row r="2991" spans="1:6" x14ac:dyDescent="0.25">
      <c r="A2991" t="str">
        <f>"69291250"</f>
        <v>69291250</v>
      </c>
      <c r="B2991" t="s">
        <v>3173</v>
      </c>
      <c r="C2991" t="s">
        <v>7</v>
      </c>
      <c r="D2991" t="str">
        <f t="shared" si="100"/>
        <v>556904</v>
      </c>
      <c r="E2991" t="s">
        <v>2186</v>
      </c>
      <c r="F2991" t="s">
        <v>254</v>
      </c>
    </row>
    <row r="2992" spans="1:6" x14ac:dyDescent="0.25">
      <c r="A2992" t="str">
        <f>"69292213"</f>
        <v>69292213</v>
      </c>
      <c r="B2992" t="s">
        <v>3174</v>
      </c>
      <c r="C2992" t="s">
        <v>7</v>
      </c>
      <c r="D2992" t="str">
        <f t="shared" si="100"/>
        <v>556904</v>
      </c>
      <c r="E2992" t="s">
        <v>2186</v>
      </c>
      <c r="F2992" t="s">
        <v>11</v>
      </c>
    </row>
    <row r="2993" spans="1:6" x14ac:dyDescent="0.25">
      <c r="A2993" t="str">
        <f>"68982861"</f>
        <v>68982861</v>
      </c>
      <c r="B2993" t="s">
        <v>3175</v>
      </c>
      <c r="C2993" t="s">
        <v>7</v>
      </c>
      <c r="D2993" t="str">
        <f t="shared" si="100"/>
        <v>556904</v>
      </c>
      <c r="E2993" t="s">
        <v>2186</v>
      </c>
      <c r="F2993" t="s">
        <v>11</v>
      </c>
    </row>
    <row r="2994" spans="1:6" x14ac:dyDescent="0.25">
      <c r="A2994" t="str">
        <f>"27016781"</f>
        <v>27016781</v>
      </c>
      <c r="B2994" t="s">
        <v>3176</v>
      </c>
      <c r="C2994" t="s">
        <v>7</v>
      </c>
      <c r="D2994" t="str">
        <f t="shared" si="100"/>
        <v>556904</v>
      </c>
      <c r="E2994" t="s">
        <v>2186</v>
      </c>
      <c r="F2994" t="s">
        <v>11</v>
      </c>
    </row>
    <row r="2995" spans="1:6" x14ac:dyDescent="0.25">
      <c r="A2995" t="str">
        <f>"27057631"</f>
        <v>27057631</v>
      </c>
      <c r="B2995" t="s">
        <v>3177</v>
      </c>
      <c r="C2995" t="s">
        <v>7</v>
      </c>
      <c r="D2995" t="str">
        <f t="shared" si="100"/>
        <v>556904</v>
      </c>
      <c r="E2995" t="s">
        <v>2186</v>
      </c>
      <c r="F2995" t="s">
        <v>9</v>
      </c>
    </row>
    <row r="2996" spans="1:6" x14ac:dyDescent="0.25">
      <c r="A2996" t="str">
        <f>"06614779"</f>
        <v>06614779</v>
      </c>
      <c r="B2996" t="s">
        <v>3178</v>
      </c>
      <c r="C2996" t="s">
        <v>7</v>
      </c>
      <c r="D2996" t="str">
        <f t="shared" si="100"/>
        <v>556904</v>
      </c>
      <c r="E2996" t="s">
        <v>2186</v>
      </c>
      <c r="F2996" t="s">
        <v>11</v>
      </c>
    </row>
    <row r="2997" spans="1:6" x14ac:dyDescent="0.25">
      <c r="A2997" t="str">
        <f>"27300064"</f>
        <v>27300064</v>
      </c>
      <c r="B2997" t="s">
        <v>3179</v>
      </c>
      <c r="C2997" t="s">
        <v>78</v>
      </c>
      <c r="D2997" t="str">
        <f t="shared" si="100"/>
        <v>556904</v>
      </c>
      <c r="E2997" t="s">
        <v>2186</v>
      </c>
      <c r="F2997" t="s">
        <v>326</v>
      </c>
    </row>
    <row r="2998" spans="1:6" x14ac:dyDescent="0.25">
      <c r="A2998" t="str">
        <f>"21327661"</f>
        <v>21327661</v>
      </c>
      <c r="B2998" t="s">
        <v>3180</v>
      </c>
      <c r="C2998" t="s">
        <v>7</v>
      </c>
      <c r="D2998" t="str">
        <f t="shared" si="100"/>
        <v>556904</v>
      </c>
      <c r="E2998" t="s">
        <v>2186</v>
      </c>
      <c r="F2998" t="s">
        <v>865</v>
      </c>
    </row>
    <row r="2999" spans="1:6" x14ac:dyDescent="0.25">
      <c r="A2999" t="str">
        <f>"09659561"</f>
        <v>09659561</v>
      </c>
      <c r="B2999" t="s">
        <v>3181</v>
      </c>
      <c r="C2999" t="s">
        <v>7</v>
      </c>
      <c r="D2999" t="str">
        <f t="shared" si="100"/>
        <v>556904</v>
      </c>
      <c r="E2999" t="s">
        <v>2186</v>
      </c>
      <c r="F2999" t="s">
        <v>62</v>
      </c>
    </row>
    <row r="3000" spans="1:6" x14ac:dyDescent="0.25">
      <c r="A3000" t="str">
        <f>"68983581"</f>
        <v>68983581</v>
      </c>
      <c r="B3000" t="s">
        <v>3182</v>
      </c>
      <c r="C3000" t="s">
        <v>2224</v>
      </c>
      <c r="D3000" t="str">
        <f t="shared" si="100"/>
        <v>556904</v>
      </c>
      <c r="E3000" t="s">
        <v>2186</v>
      </c>
      <c r="F3000" t="s">
        <v>13</v>
      </c>
    </row>
    <row r="3001" spans="1:6" x14ac:dyDescent="0.25">
      <c r="A3001" t="str">
        <f>"27322793"</f>
        <v>27322793</v>
      </c>
      <c r="B3001" t="s">
        <v>3183</v>
      </c>
      <c r="C3001" t="s">
        <v>78</v>
      </c>
      <c r="D3001" t="str">
        <f t="shared" si="100"/>
        <v>556904</v>
      </c>
      <c r="E3001" t="s">
        <v>2186</v>
      </c>
      <c r="F3001" t="s">
        <v>183</v>
      </c>
    </row>
    <row r="3002" spans="1:6" x14ac:dyDescent="0.25">
      <c r="A3002" t="str">
        <f>"06322824"</f>
        <v>06322824</v>
      </c>
      <c r="B3002" t="s">
        <v>3184</v>
      </c>
      <c r="C3002" t="s">
        <v>7</v>
      </c>
      <c r="D3002" t="str">
        <f t="shared" si="100"/>
        <v>556904</v>
      </c>
      <c r="E3002" t="s">
        <v>2186</v>
      </c>
      <c r="F3002" t="s">
        <v>139</v>
      </c>
    </row>
    <row r="3003" spans="1:6" x14ac:dyDescent="0.25">
      <c r="A3003" t="str">
        <f>"46746501"</f>
        <v>46746501</v>
      </c>
      <c r="B3003" t="s">
        <v>3185</v>
      </c>
      <c r="C3003" t="s">
        <v>43</v>
      </c>
      <c r="D3003" t="str">
        <f t="shared" si="100"/>
        <v>556904</v>
      </c>
      <c r="E3003" t="s">
        <v>2186</v>
      </c>
      <c r="F3003" t="s">
        <v>44</v>
      </c>
    </row>
    <row r="3004" spans="1:6" x14ac:dyDescent="0.25">
      <c r="A3004" t="str">
        <f>"46745548"</f>
        <v>46745548</v>
      </c>
      <c r="B3004" t="s">
        <v>3186</v>
      </c>
      <c r="C3004" t="s">
        <v>43</v>
      </c>
      <c r="D3004" t="str">
        <f t="shared" si="100"/>
        <v>556904</v>
      </c>
      <c r="E3004" t="s">
        <v>2186</v>
      </c>
      <c r="F3004" t="s">
        <v>44</v>
      </c>
    </row>
    <row r="3005" spans="1:6" x14ac:dyDescent="0.25">
      <c r="A3005" t="str">
        <f>"46745611"</f>
        <v>46745611</v>
      </c>
      <c r="B3005" t="s">
        <v>3187</v>
      </c>
      <c r="C3005" t="s">
        <v>43</v>
      </c>
      <c r="D3005" t="str">
        <f t="shared" si="100"/>
        <v>556904</v>
      </c>
      <c r="E3005" t="s">
        <v>2186</v>
      </c>
      <c r="F3005" t="s">
        <v>44</v>
      </c>
    </row>
    <row r="3006" spans="1:6" x14ac:dyDescent="0.25">
      <c r="A3006" t="str">
        <f>"46746587"</f>
        <v>46746587</v>
      </c>
      <c r="B3006" t="s">
        <v>3188</v>
      </c>
      <c r="C3006" t="s">
        <v>43</v>
      </c>
      <c r="D3006" t="str">
        <f t="shared" si="100"/>
        <v>556904</v>
      </c>
      <c r="E3006" t="s">
        <v>2186</v>
      </c>
      <c r="F3006" t="s">
        <v>44</v>
      </c>
    </row>
    <row r="3007" spans="1:6" x14ac:dyDescent="0.25">
      <c r="A3007" t="str">
        <f>"46749454"</f>
        <v>46749454</v>
      </c>
      <c r="B3007" t="s">
        <v>3189</v>
      </c>
      <c r="C3007" t="s">
        <v>43</v>
      </c>
      <c r="D3007" t="str">
        <f t="shared" si="100"/>
        <v>556904</v>
      </c>
      <c r="E3007" t="s">
        <v>2186</v>
      </c>
      <c r="F3007" t="s">
        <v>44</v>
      </c>
    </row>
    <row r="3008" spans="1:6" x14ac:dyDescent="0.25">
      <c r="A3008" t="str">
        <f>"22859128"</f>
        <v>22859128</v>
      </c>
      <c r="B3008" t="s">
        <v>3190</v>
      </c>
      <c r="C3008" t="s">
        <v>7</v>
      </c>
      <c r="D3008" t="str">
        <f t="shared" si="100"/>
        <v>556904</v>
      </c>
      <c r="E3008" t="s">
        <v>2186</v>
      </c>
      <c r="F3008" t="s">
        <v>11</v>
      </c>
    </row>
    <row r="3009" spans="1:6" x14ac:dyDescent="0.25">
      <c r="A3009" t="str">
        <f>"46747672"</f>
        <v>46747672</v>
      </c>
      <c r="B3009" t="s">
        <v>3191</v>
      </c>
      <c r="C3009" t="s">
        <v>7</v>
      </c>
      <c r="D3009" t="str">
        <f t="shared" si="100"/>
        <v>556904</v>
      </c>
      <c r="E3009" t="s">
        <v>2186</v>
      </c>
      <c r="F3009" t="s">
        <v>9</v>
      </c>
    </row>
    <row r="3010" spans="1:6" x14ac:dyDescent="0.25">
      <c r="A3010" t="str">
        <f>"22844236"</f>
        <v>22844236</v>
      </c>
      <c r="B3010" t="s">
        <v>3192</v>
      </c>
      <c r="C3010" t="s">
        <v>7</v>
      </c>
      <c r="D3010" t="str">
        <f t="shared" si="100"/>
        <v>556904</v>
      </c>
      <c r="E3010" t="s">
        <v>2186</v>
      </c>
      <c r="F3010" t="s">
        <v>35</v>
      </c>
    </row>
    <row r="3011" spans="1:6" x14ac:dyDescent="0.25">
      <c r="A3011" t="str">
        <f>"05870691"</f>
        <v>05870691</v>
      </c>
      <c r="B3011" t="s">
        <v>3193</v>
      </c>
      <c r="C3011" t="s">
        <v>7</v>
      </c>
      <c r="D3011" t="str">
        <f t="shared" si="100"/>
        <v>556904</v>
      </c>
      <c r="E3011" t="s">
        <v>2186</v>
      </c>
      <c r="F3011" t="s">
        <v>35</v>
      </c>
    </row>
    <row r="3012" spans="1:6" x14ac:dyDescent="0.25">
      <c r="A3012" t="str">
        <f>"04871324"</f>
        <v>04871324</v>
      </c>
      <c r="B3012" t="s">
        <v>3194</v>
      </c>
      <c r="C3012" t="s">
        <v>7</v>
      </c>
      <c r="D3012" t="str">
        <f t="shared" si="100"/>
        <v>556904</v>
      </c>
      <c r="E3012" t="s">
        <v>2186</v>
      </c>
      <c r="F3012" t="s">
        <v>11</v>
      </c>
    </row>
    <row r="3013" spans="1:6" x14ac:dyDescent="0.25">
      <c r="A3013" t="str">
        <f>"26653451"</f>
        <v>26653451</v>
      </c>
      <c r="B3013" t="s">
        <v>3195</v>
      </c>
      <c r="C3013" t="s">
        <v>7</v>
      </c>
      <c r="D3013" t="str">
        <f t="shared" si="100"/>
        <v>556904</v>
      </c>
      <c r="E3013" t="s">
        <v>2186</v>
      </c>
      <c r="F3013" t="s">
        <v>9</v>
      </c>
    </row>
    <row r="3014" spans="1:6" x14ac:dyDescent="0.25">
      <c r="A3014" t="str">
        <f>"22766596"</f>
        <v>22766596</v>
      </c>
      <c r="B3014" t="s">
        <v>3196</v>
      </c>
      <c r="C3014" t="s">
        <v>7</v>
      </c>
      <c r="D3014" t="str">
        <f t="shared" si="100"/>
        <v>556904</v>
      </c>
      <c r="E3014" t="s">
        <v>2186</v>
      </c>
      <c r="F3014" t="s">
        <v>11</v>
      </c>
    </row>
    <row r="3015" spans="1:6" x14ac:dyDescent="0.25">
      <c r="A3015" t="str">
        <f>"43225128"</f>
        <v>43225128</v>
      </c>
      <c r="B3015" t="s">
        <v>3197</v>
      </c>
      <c r="C3015" t="s">
        <v>7</v>
      </c>
      <c r="D3015" t="str">
        <f t="shared" si="100"/>
        <v>556904</v>
      </c>
      <c r="E3015" t="s">
        <v>2186</v>
      </c>
      <c r="F3015" t="s">
        <v>11</v>
      </c>
    </row>
    <row r="3016" spans="1:6" x14ac:dyDescent="0.25">
      <c r="A3016" t="str">
        <f>"46746714"</f>
        <v>46746714</v>
      </c>
      <c r="B3016" t="s">
        <v>3198</v>
      </c>
      <c r="C3016" t="s">
        <v>7</v>
      </c>
      <c r="D3016" t="str">
        <f t="shared" si="100"/>
        <v>556904</v>
      </c>
      <c r="E3016" t="s">
        <v>2186</v>
      </c>
      <c r="F3016" t="s">
        <v>11</v>
      </c>
    </row>
    <row r="3017" spans="1:6" x14ac:dyDescent="0.25">
      <c r="A3017" t="str">
        <f>"66111064"</f>
        <v>66111064</v>
      </c>
      <c r="B3017" t="s">
        <v>3199</v>
      </c>
      <c r="C3017" t="s">
        <v>43</v>
      </c>
      <c r="D3017" t="str">
        <f t="shared" si="100"/>
        <v>556904</v>
      </c>
      <c r="E3017" t="s">
        <v>2186</v>
      </c>
      <c r="F3017" t="s">
        <v>44</v>
      </c>
    </row>
    <row r="3018" spans="1:6" x14ac:dyDescent="0.25">
      <c r="A3018" t="str">
        <f>"64039552"</f>
        <v>64039552</v>
      </c>
      <c r="B3018" t="s">
        <v>3200</v>
      </c>
      <c r="C3018" t="s">
        <v>43</v>
      </c>
      <c r="D3018" t="str">
        <f t="shared" si="100"/>
        <v>556904</v>
      </c>
      <c r="E3018" t="s">
        <v>2186</v>
      </c>
      <c r="F3018" t="s">
        <v>44</v>
      </c>
    </row>
    <row r="3019" spans="1:6" x14ac:dyDescent="0.25">
      <c r="A3019" t="str">
        <f>"70582769"</f>
        <v>70582769</v>
      </c>
      <c r="B3019" t="s">
        <v>3201</v>
      </c>
      <c r="C3019" t="s">
        <v>43</v>
      </c>
      <c r="D3019" t="str">
        <f t="shared" si="100"/>
        <v>556904</v>
      </c>
      <c r="E3019" t="s">
        <v>2186</v>
      </c>
      <c r="F3019" t="s">
        <v>44</v>
      </c>
    </row>
    <row r="3020" spans="1:6" x14ac:dyDescent="0.25">
      <c r="A3020" t="str">
        <f>"46744584"</f>
        <v>46744584</v>
      </c>
      <c r="B3020" t="s">
        <v>3202</v>
      </c>
      <c r="C3020" t="s">
        <v>7</v>
      </c>
      <c r="D3020" t="str">
        <f t="shared" si="100"/>
        <v>556904</v>
      </c>
      <c r="E3020" t="s">
        <v>2186</v>
      </c>
      <c r="F3020" t="s">
        <v>9</v>
      </c>
    </row>
    <row r="3021" spans="1:6" x14ac:dyDescent="0.25">
      <c r="A3021" t="str">
        <f>"46744746"</f>
        <v>46744746</v>
      </c>
      <c r="B3021" t="s">
        <v>3203</v>
      </c>
      <c r="C3021" t="s">
        <v>7</v>
      </c>
      <c r="D3021" t="str">
        <f t="shared" si="100"/>
        <v>556904</v>
      </c>
      <c r="E3021" t="s">
        <v>2186</v>
      </c>
      <c r="F3021" t="s">
        <v>9</v>
      </c>
    </row>
    <row r="3022" spans="1:6" x14ac:dyDescent="0.25">
      <c r="A3022" t="str">
        <f>"68379552"</f>
        <v>68379552</v>
      </c>
      <c r="B3022" t="s">
        <v>3204</v>
      </c>
      <c r="C3022" t="s">
        <v>7</v>
      </c>
      <c r="D3022" t="str">
        <f t="shared" si="100"/>
        <v>556904</v>
      </c>
      <c r="E3022" t="s">
        <v>2186</v>
      </c>
      <c r="F3022" t="s">
        <v>62</v>
      </c>
    </row>
    <row r="3023" spans="1:6" x14ac:dyDescent="0.25">
      <c r="A3023" t="str">
        <f>"46747907"</f>
        <v>46747907</v>
      </c>
      <c r="B3023" t="s">
        <v>3205</v>
      </c>
      <c r="C3023" t="s">
        <v>7</v>
      </c>
      <c r="D3023" t="str">
        <f t="shared" si="100"/>
        <v>556904</v>
      </c>
      <c r="E3023" t="s">
        <v>2186</v>
      </c>
      <c r="F3023" t="s">
        <v>9</v>
      </c>
    </row>
    <row r="3024" spans="1:6" x14ac:dyDescent="0.25">
      <c r="A3024" t="str">
        <f>"26581051"</f>
        <v>26581051</v>
      </c>
      <c r="B3024" t="s">
        <v>3206</v>
      </c>
      <c r="C3024" t="s">
        <v>7</v>
      </c>
      <c r="D3024" t="str">
        <f t="shared" si="100"/>
        <v>556904</v>
      </c>
      <c r="E3024" t="s">
        <v>2186</v>
      </c>
      <c r="F3024" t="s">
        <v>9</v>
      </c>
    </row>
    <row r="3025" spans="1:6" x14ac:dyDescent="0.25">
      <c r="A3025" t="str">
        <f>"07766114"</f>
        <v>07766114</v>
      </c>
      <c r="B3025" t="s">
        <v>3207</v>
      </c>
      <c r="C3025" t="s">
        <v>7</v>
      </c>
      <c r="D3025" t="str">
        <f t="shared" si="100"/>
        <v>556904</v>
      </c>
      <c r="E3025" t="s">
        <v>2186</v>
      </c>
      <c r="F3025" t="s">
        <v>11</v>
      </c>
    </row>
    <row r="3026" spans="1:6" x14ac:dyDescent="0.25">
      <c r="A3026" t="str">
        <f>"27025691"</f>
        <v>27025691</v>
      </c>
      <c r="B3026" t="s">
        <v>3208</v>
      </c>
      <c r="C3026" t="s">
        <v>7</v>
      </c>
      <c r="D3026" t="str">
        <f t="shared" si="100"/>
        <v>556904</v>
      </c>
      <c r="E3026" t="s">
        <v>2186</v>
      </c>
      <c r="F3026" t="s">
        <v>139</v>
      </c>
    </row>
    <row r="3027" spans="1:6" x14ac:dyDescent="0.25">
      <c r="A3027" t="str">
        <f>"22855017"</f>
        <v>22855017</v>
      </c>
      <c r="B3027" t="s">
        <v>3209</v>
      </c>
      <c r="C3027" t="s">
        <v>7</v>
      </c>
      <c r="D3027" t="str">
        <f t="shared" si="100"/>
        <v>556904</v>
      </c>
      <c r="E3027" t="s">
        <v>2186</v>
      </c>
      <c r="F3027" t="s">
        <v>13</v>
      </c>
    </row>
    <row r="3028" spans="1:6" x14ac:dyDescent="0.25">
      <c r="A3028" t="str">
        <f>"27018156"</f>
        <v>27018156</v>
      </c>
      <c r="B3028" t="s">
        <v>3210</v>
      </c>
      <c r="C3028" t="s">
        <v>7</v>
      </c>
      <c r="D3028" t="str">
        <f t="shared" si="100"/>
        <v>556904</v>
      </c>
      <c r="E3028" t="s">
        <v>2186</v>
      </c>
      <c r="F3028" t="s">
        <v>11</v>
      </c>
    </row>
    <row r="3029" spans="1:6" x14ac:dyDescent="0.25">
      <c r="A3029" t="str">
        <f>"22886834"</f>
        <v>22886834</v>
      </c>
      <c r="B3029" t="s">
        <v>3211</v>
      </c>
      <c r="C3029" t="s">
        <v>7</v>
      </c>
      <c r="D3029" t="str">
        <f t="shared" si="100"/>
        <v>556904</v>
      </c>
      <c r="E3029" t="s">
        <v>2186</v>
      </c>
      <c r="F3029" t="s">
        <v>11</v>
      </c>
    </row>
    <row r="3030" spans="1:6" x14ac:dyDescent="0.25">
      <c r="A3030" t="str">
        <f>"26556081"</f>
        <v>26556081</v>
      </c>
      <c r="B3030" t="s">
        <v>3212</v>
      </c>
      <c r="C3030" t="s">
        <v>7</v>
      </c>
      <c r="D3030" t="str">
        <f t="shared" si="100"/>
        <v>556904</v>
      </c>
      <c r="E3030" t="s">
        <v>2186</v>
      </c>
      <c r="F3030" t="s">
        <v>62</v>
      </c>
    </row>
    <row r="3031" spans="1:6" x14ac:dyDescent="0.25">
      <c r="A3031" t="str">
        <f>"69388156"</f>
        <v>69388156</v>
      </c>
      <c r="B3031" t="s">
        <v>3213</v>
      </c>
      <c r="C3031" t="s">
        <v>7</v>
      </c>
      <c r="D3031" t="str">
        <f t="shared" si="100"/>
        <v>556904</v>
      </c>
      <c r="E3031" t="s">
        <v>2186</v>
      </c>
      <c r="F3031" t="s">
        <v>11</v>
      </c>
    </row>
    <row r="3032" spans="1:6" x14ac:dyDescent="0.25">
      <c r="A3032" t="str">
        <f>"02297191"</f>
        <v>02297191</v>
      </c>
      <c r="B3032" t="s">
        <v>3214</v>
      </c>
      <c r="C3032" t="s">
        <v>7</v>
      </c>
      <c r="D3032" t="str">
        <f t="shared" si="100"/>
        <v>556904</v>
      </c>
      <c r="E3032" t="s">
        <v>2186</v>
      </c>
      <c r="F3032" t="s">
        <v>18</v>
      </c>
    </row>
    <row r="3033" spans="1:6" x14ac:dyDescent="0.25">
      <c r="A3033" t="str">
        <f>"67443150"</f>
        <v>67443150</v>
      </c>
      <c r="B3033" t="s">
        <v>3215</v>
      </c>
      <c r="C3033" t="s">
        <v>7</v>
      </c>
      <c r="D3033" t="str">
        <f t="shared" si="100"/>
        <v>556904</v>
      </c>
      <c r="E3033" t="s">
        <v>2186</v>
      </c>
      <c r="F3033" t="s">
        <v>11</v>
      </c>
    </row>
    <row r="3034" spans="1:6" x14ac:dyDescent="0.25">
      <c r="A3034" t="str">
        <f>"22747311"</f>
        <v>22747311</v>
      </c>
      <c r="B3034" t="s">
        <v>3216</v>
      </c>
      <c r="C3034" t="s">
        <v>7</v>
      </c>
      <c r="D3034" t="str">
        <f t="shared" si="100"/>
        <v>556904</v>
      </c>
      <c r="E3034" t="s">
        <v>2186</v>
      </c>
      <c r="F3034" t="s">
        <v>11</v>
      </c>
    </row>
    <row r="3035" spans="1:6" x14ac:dyDescent="0.25">
      <c r="A3035" t="str">
        <f>"22908650"</f>
        <v>22908650</v>
      </c>
      <c r="B3035" t="s">
        <v>3217</v>
      </c>
      <c r="C3035" t="s">
        <v>7</v>
      </c>
      <c r="D3035" t="str">
        <f t="shared" si="100"/>
        <v>556904</v>
      </c>
      <c r="E3035" t="s">
        <v>2186</v>
      </c>
      <c r="F3035" t="s">
        <v>11</v>
      </c>
    </row>
    <row r="3036" spans="1:6" x14ac:dyDescent="0.25">
      <c r="A3036" t="str">
        <f>"46746951"</f>
        <v>46746951</v>
      </c>
      <c r="B3036" t="s">
        <v>3218</v>
      </c>
      <c r="C3036" t="s">
        <v>7</v>
      </c>
      <c r="D3036" t="str">
        <f t="shared" si="100"/>
        <v>556904</v>
      </c>
      <c r="E3036" t="s">
        <v>2186</v>
      </c>
      <c r="F3036" t="s">
        <v>424</v>
      </c>
    </row>
    <row r="3037" spans="1:6" x14ac:dyDescent="0.25">
      <c r="A3037" t="str">
        <f>"02472554"</f>
        <v>02472554</v>
      </c>
      <c r="B3037" t="s">
        <v>3219</v>
      </c>
      <c r="C3037" t="s">
        <v>7</v>
      </c>
      <c r="D3037" t="str">
        <f t="shared" si="100"/>
        <v>556904</v>
      </c>
      <c r="E3037" t="s">
        <v>2186</v>
      </c>
      <c r="F3037" t="s">
        <v>389</v>
      </c>
    </row>
    <row r="3038" spans="1:6" x14ac:dyDescent="0.25">
      <c r="A3038" t="str">
        <f>"70229961"</f>
        <v>70229961</v>
      </c>
      <c r="B3038" t="s">
        <v>3220</v>
      </c>
      <c r="C3038" t="s">
        <v>7</v>
      </c>
      <c r="D3038" t="str">
        <f t="shared" si="100"/>
        <v>556904</v>
      </c>
      <c r="E3038" t="s">
        <v>2186</v>
      </c>
      <c r="F3038" t="s">
        <v>381</v>
      </c>
    </row>
    <row r="3039" spans="1:6" x14ac:dyDescent="0.25">
      <c r="A3039" t="str">
        <f>"68975341"</f>
        <v>68975341</v>
      </c>
      <c r="B3039" t="s">
        <v>3221</v>
      </c>
      <c r="C3039" t="s">
        <v>726</v>
      </c>
      <c r="D3039" t="str">
        <f t="shared" si="100"/>
        <v>556904</v>
      </c>
      <c r="E3039" t="s">
        <v>2186</v>
      </c>
      <c r="F3039" t="s">
        <v>11</v>
      </c>
    </row>
    <row r="3040" spans="1:6" x14ac:dyDescent="0.25">
      <c r="A3040" t="str">
        <f>"70928436"</f>
        <v>70928436</v>
      </c>
      <c r="B3040" t="s">
        <v>3222</v>
      </c>
      <c r="C3040" t="s">
        <v>726</v>
      </c>
      <c r="D3040" t="str">
        <f t="shared" si="100"/>
        <v>556904</v>
      </c>
      <c r="E3040" t="s">
        <v>2186</v>
      </c>
      <c r="F3040" t="s">
        <v>11</v>
      </c>
    </row>
    <row r="3041" spans="1:6" x14ac:dyDescent="0.25">
      <c r="A3041" t="str">
        <f>"26662485"</f>
        <v>26662485</v>
      </c>
      <c r="B3041" t="s">
        <v>3223</v>
      </c>
      <c r="C3041" t="s">
        <v>7</v>
      </c>
      <c r="D3041" t="str">
        <f t="shared" si="100"/>
        <v>556904</v>
      </c>
      <c r="E3041" t="s">
        <v>2186</v>
      </c>
      <c r="F3041" t="s">
        <v>11</v>
      </c>
    </row>
    <row r="3042" spans="1:6" x14ac:dyDescent="0.25">
      <c r="A3042" t="str">
        <f>"01573624"</f>
        <v>01573624</v>
      </c>
      <c r="B3042" t="s">
        <v>3224</v>
      </c>
      <c r="C3042" t="s">
        <v>7</v>
      </c>
      <c r="D3042" t="str">
        <f t="shared" si="100"/>
        <v>556904</v>
      </c>
      <c r="E3042" t="s">
        <v>2186</v>
      </c>
      <c r="F3042" t="s">
        <v>11</v>
      </c>
    </row>
    <row r="3043" spans="1:6" x14ac:dyDescent="0.25">
      <c r="A3043" t="str">
        <f>"70819751"</f>
        <v>70819751</v>
      </c>
      <c r="B3043" t="s">
        <v>3225</v>
      </c>
      <c r="C3043" t="s">
        <v>7</v>
      </c>
      <c r="D3043" t="str">
        <f t="shared" si="100"/>
        <v>556904</v>
      </c>
      <c r="E3043" t="s">
        <v>2186</v>
      </c>
      <c r="F3043" t="s">
        <v>11</v>
      </c>
    </row>
    <row r="3044" spans="1:6" x14ac:dyDescent="0.25">
      <c r="A3044" t="str">
        <f>"44225202"</f>
        <v>44225202</v>
      </c>
      <c r="B3044" t="s">
        <v>3226</v>
      </c>
      <c r="C3044" t="s">
        <v>7</v>
      </c>
      <c r="D3044" t="str">
        <f t="shared" si="100"/>
        <v>556904</v>
      </c>
      <c r="E3044" t="s">
        <v>2186</v>
      </c>
      <c r="F3044" t="s">
        <v>11</v>
      </c>
    </row>
    <row r="3045" spans="1:6" x14ac:dyDescent="0.25">
      <c r="A3045" t="str">
        <f>"02305909"</f>
        <v>02305909</v>
      </c>
      <c r="B3045" t="s">
        <v>3227</v>
      </c>
      <c r="C3045" t="s">
        <v>7</v>
      </c>
      <c r="D3045" t="str">
        <f t="shared" si="100"/>
        <v>556904</v>
      </c>
      <c r="E3045" t="s">
        <v>2186</v>
      </c>
      <c r="F3045" t="s">
        <v>11</v>
      </c>
    </row>
    <row r="3046" spans="1:6" x14ac:dyDescent="0.25">
      <c r="A3046" t="str">
        <f>"02260166"</f>
        <v>02260166</v>
      </c>
      <c r="B3046" t="s">
        <v>3228</v>
      </c>
      <c r="C3046" t="s">
        <v>7</v>
      </c>
      <c r="D3046" t="str">
        <f t="shared" si="100"/>
        <v>556904</v>
      </c>
      <c r="E3046" t="s">
        <v>2186</v>
      </c>
      <c r="F3046" t="s">
        <v>11</v>
      </c>
    </row>
    <row r="3047" spans="1:6" x14ac:dyDescent="0.25">
      <c r="A3047" t="str">
        <f>"01573268"</f>
        <v>01573268</v>
      </c>
      <c r="B3047" t="s">
        <v>3229</v>
      </c>
      <c r="C3047" t="s">
        <v>7</v>
      </c>
      <c r="D3047" t="str">
        <f t="shared" si="100"/>
        <v>556904</v>
      </c>
      <c r="E3047" t="s">
        <v>2186</v>
      </c>
      <c r="F3047" t="s">
        <v>18</v>
      </c>
    </row>
    <row r="3048" spans="1:6" x14ac:dyDescent="0.25">
      <c r="A3048" t="str">
        <f>"26538768"</f>
        <v>26538768</v>
      </c>
      <c r="B3048" t="s">
        <v>3230</v>
      </c>
      <c r="C3048" t="s">
        <v>7</v>
      </c>
      <c r="D3048" t="str">
        <f t="shared" ref="D3048:D3111" si="101">"556904"</f>
        <v>556904</v>
      </c>
      <c r="E3048" t="s">
        <v>2186</v>
      </c>
      <c r="F3048" t="s">
        <v>11</v>
      </c>
    </row>
    <row r="3049" spans="1:6" x14ac:dyDescent="0.25">
      <c r="A3049" t="str">
        <f>"26562782"</f>
        <v>26562782</v>
      </c>
      <c r="B3049" t="s">
        <v>3231</v>
      </c>
      <c r="C3049" t="s">
        <v>7</v>
      </c>
      <c r="D3049" t="str">
        <f t="shared" si="101"/>
        <v>556904</v>
      </c>
      <c r="E3049" t="s">
        <v>2186</v>
      </c>
      <c r="F3049" t="s">
        <v>11</v>
      </c>
    </row>
    <row r="3050" spans="1:6" x14ac:dyDescent="0.25">
      <c r="A3050" t="str">
        <f>"02758237"</f>
        <v>02758237</v>
      </c>
      <c r="B3050" t="s">
        <v>3232</v>
      </c>
      <c r="C3050" t="s">
        <v>7</v>
      </c>
      <c r="D3050" t="str">
        <f t="shared" si="101"/>
        <v>556904</v>
      </c>
      <c r="E3050" t="s">
        <v>2186</v>
      </c>
      <c r="F3050" t="s">
        <v>11</v>
      </c>
    </row>
    <row r="3051" spans="1:6" x14ac:dyDescent="0.25">
      <c r="A3051" t="str">
        <f>"22830103"</f>
        <v>22830103</v>
      </c>
      <c r="B3051" t="s">
        <v>3233</v>
      </c>
      <c r="C3051" t="s">
        <v>7</v>
      </c>
      <c r="D3051" t="str">
        <f t="shared" si="101"/>
        <v>556904</v>
      </c>
      <c r="E3051" t="s">
        <v>2186</v>
      </c>
      <c r="F3051" t="s">
        <v>11</v>
      </c>
    </row>
    <row r="3052" spans="1:6" x14ac:dyDescent="0.25">
      <c r="A3052" t="str">
        <f>"26586291"</f>
        <v>26586291</v>
      </c>
      <c r="B3052" t="s">
        <v>3234</v>
      </c>
      <c r="C3052" t="s">
        <v>7</v>
      </c>
      <c r="D3052" t="str">
        <f t="shared" si="101"/>
        <v>556904</v>
      </c>
      <c r="E3052" t="s">
        <v>2186</v>
      </c>
      <c r="F3052" t="s">
        <v>9</v>
      </c>
    </row>
    <row r="3053" spans="1:6" x14ac:dyDescent="0.25">
      <c r="A3053" t="str">
        <f>"46746293"</f>
        <v>46746293</v>
      </c>
      <c r="B3053" t="s">
        <v>3235</v>
      </c>
      <c r="C3053" t="s">
        <v>7</v>
      </c>
      <c r="D3053" t="str">
        <f t="shared" si="101"/>
        <v>556904</v>
      </c>
      <c r="E3053" t="s">
        <v>2186</v>
      </c>
      <c r="F3053" t="s">
        <v>11</v>
      </c>
    </row>
    <row r="3054" spans="1:6" x14ac:dyDescent="0.25">
      <c r="A3054" t="str">
        <f>"71180451"</f>
        <v>71180451</v>
      </c>
      <c r="B3054" t="s">
        <v>3236</v>
      </c>
      <c r="C3054" t="s">
        <v>726</v>
      </c>
      <c r="D3054" t="str">
        <f t="shared" si="101"/>
        <v>556904</v>
      </c>
      <c r="E3054" t="s">
        <v>2186</v>
      </c>
      <c r="F3054" t="s">
        <v>834</v>
      </c>
    </row>
    <row r="3055" spans="1:6" x14ac:dyDescent="0.25">
      <c r="A3055" t="str">
        <f>"72741597"</f>
        <v>72741597</v>
      </c>
      <c r="B3055" t="s">
        <v>3237</v>
      </c>
      <c r="C3055" t="s">
        <v>726</v>
      </c>
      <c r="D3055" t="str">
        <f t="shared" si="101"/>
        <v>556904</v>
      </c>
      <c r="E3055" t="s">
        <v>2186</v>
      </c>
      <c r="F3055" t="s">
        <v>3238</v>
      </c>
    </row>
    <row r="3056" spans="1:6" x14ac:dyDescent="0.25">
      <c r="A3056" t="str">
        <f>"45241511"</f>
        <v>45241511</v>
      </c>
      <c r="B3056" t="s">
        <v>3239</v>
      </c>
      <c r="C3056" t="s">
        <v>7</v>
      </c>
      <c r="D3056" t="str">
        <f t="shared" si="101"/>
        <v>556904</v>
      </c>
      <c r="E3056" t="s">
        <v>2186</v>
      </c>
      <c r="F3056" t="s">
        <v>11</v>
      </c>
    </row>
    <row r="3057" spans="1:6" x14ac:dyDescent="0.25">
      <c r="A3057" t="str">
        <f>"26988381"</f>
        <v>26988381</v>
      </c>
      <c r="B3057" t="s">
        <v>3240</v>
      </c>
      <c r="C3057" t="s">
        <v>7</v>
      </c>
      <c r="D3057" t="str">
        <f t="shared" si="101"/>
        <v>556904</v>
      </c>
      <c r="E3057" t="s">
        <v>2186</v>
      </c>
      <c r="F3057" t="s">
        <v>9</v>
      </c>
    </row>
    <row r="3058" spans="1:6" x14ac:dyDescent="0.25">
      <c r="A3058" t="str">
        <f>"02203162"</f>
        <v>02203162</v>
      </c>
      <c r="B3058" t="s">
        <v>3241</v>
      </c>
      <c r="C3058" t="s">
        <v>7</v>
      </c>
      <c r="D3058" t="str">
        <f t="shared" si="101"/>
        <v>556904</v>
      </c>
      <c r="E3058" t="s">
        <v>2186</v>
      </c>
      <c r="F3058" t="s">
        <v>11</v>
      </c>
    </row>
    <row r="3059" spans="1:6" x14ac:dyDescent="0.25">
      <c r="A3059" t="str">
        <f>"26663864"</f>
        <v>26663864</v>
      </c>
      <c r="B3059" t="s">
        <v>3242</v>
      </c>
      <c r="C3059" t="s">
        <v>7</v>
      </c>
      <c r="D3059" t="str">
        <f t="shared" si="101"/>
        <v>556904</v>
      </c>
      <c r="E3059" t="s">
        <v>2186</v>
      </c>
      <c r="F3059" t="s">
        <v>13</v>
      </c>
    </row>
    <row r="3060" spans="1:6" x14ac:dyDescent="0.25">
      <c r="A3060" t="str">
        <f>"28705386"</f>
        <v>28705386</v>
      </c>
      <c r="B3060" t="s">
        <v>3243</v>
      </c>
      <c r="C3060" t="s">
        <v>78</v>
      </c>
      <c r="D3060" t="str">
        <f t="shared" si="101"/>
        <v>556904</v>
      </c>
      <c r="E3060" t="s">
        <v>2186</v>
      </c>
      <c r="F3060" t="s">
        <v>13</v>
      </c>
    </row>
    <row r="3061" spans="1:6" x14ac:dyDescent="0.25">
      <c r="A3061" t="str">
        <f>"70200564"</f>
        <v>70200564</v>
      </c>
      <c r="B3061" t="s">
        <v>3244</v>
      </c>
      <c r="C3061" t="s">
        <v>15</v>
      </c>
      <c r="D3061" t="str">
        <f t="shared" si="101"/>
        <v>556904</v>
      </c>
      <c r="E3061" t="s">
        <v>2186</v>
      </c>
      <c r="F3061" t="s">
        <v>11</v>
      </c>
    </row>
    <row r="3062" spans="1:6" x14ac:dyDescent="0.25">
      <c r="A3062" t="str">
        <f>"02457407"</f>
        <v>02457407</v>
      </c>
      <c r="B3062" t="s">
        <v>3245</v>
      </c>
      <c r="C3062" t="s">
        <v>7</v>
      </c>
      <c r="D3062" t="str">
        <f t="shared" si="101"/>
        <v>556904</v>
      </c>
      <c r="E3062" t="s">
        <v>2186</v>
      </c>
      <c r="F3062" t="s">
        <v>11</v>
      </c>
    </row>
    <row r="3063" spans="1:6" x14ac:dyDescent="0.25">
      <c r="A3063" t="str">
        <f>"02237229"</f>
        <v>02237229</v>
      </c>
      <c r="B3063" t="s">
        <v>3246</v>
      </c>
      <c r="C3063" t="s">
        <v>7</v>
      </c>
      <c r="D3063" t="str">
        <f t="shared" si="101"/>
        <v>556904</v>
      </c>
      <c r="E3063" t="s">
        <v>2186</v>
      </c>
      <c r="F3063" t="s">
        <v>13</v>
      </c>
    </row>
    <row r="3064" spans="1:6" x14ac:dyDescent="0.25">
      <c r="A3064" t="str">
        <f>"22709096"</f>
        <v>22709096</v>
      </c>
      <c r="B3064" t="s">
        <v>3247</v>
      </c>
      <c r="C3064" t="s">
        <v>7</v>
      </c>
      <c r="D3064" t="str">
        <f t="shared" si="101"/>
        <v>556904</v>
      </c>
      <c r="E3064" t="s">
        <v>2186</v>
      </c>
      <c r="F3064" t="s">
        <v>13</v>
      </c>
    </row>
    <row r="3065" spans="1:6" x14ac:dyDescent="0.25">
      <c r="A3065" t="str">
        <f>"27012484"</f>
        <v>27012484</v>
      </c>
      <c r="B3065" t="s">
        <v>3248</v>
      </c>
      <c r="C3065" t="s">
        <v>7</v>
      </c>
      <c r="D3065" t="str">
        <f t="shared" si="101"/>
        <v>556904</v>
      </c>
      <c r="E3065" t="s">
        <v>2186</v>
      </c>
      <c r="F3065" t="s">
        <v>11</v>
      </c>
    </row>
    <row r="3066" spans="1:6" x14ac:dyDescent="0.25">
      <c r="A3066" t="str">
        <f>"26680637"</f>
        <v>26680637</v>
      </c>
      <c r="B3066" t="s">
        <v>3249</v>
      </c>
      <c r="C3066" t="s">
        <v>7</v>
      </c>
      <c r="D3066" t="str">
        <f t="shared" si="101"/>
        <v>556904</v>
      </c>
      <c r="E3066" t="s">
        <v>2186</v>
      </c>
      <c r="F3066" t="s">
        <v>11</v>
      </c>
    </row>
    <row r="3067" spans="1:6" x14ac:dyDescent="0.25">
      <c r="A3067" t="str">
        <f>"68435339"</f>
        <v>68435339</v>
      </c>
      <c r="B3067" t="s">
        <v>1939</v>
      </c>
      <c r="C3067" t="s">
        <v>15</v>
      </c>
      <c r="D3067" t="str">
        <f t="shared" si="101"/>
        <v>556904</v>
      </c>
      <c r="E3067" t="s">
        <v>2186</v>
      </c>
      <c r="F3067" t="s">
        <v>13</v>
      </c>
    </row>
    <row r="3068" spans="1:6" x14ac:dyDescent="0.25">
      <c r="A3068" t="str">
        <f>"02309351"</f>
        <v>02309351</v>
      </c>
      <c r="B3068" t="s">
        <v>3250</v>
      </c>
      <c r="C3068" t="s">
        <v>7</v>
      </c>
      <c r="D3068" t="str">
        <f t="shared" si="101"/>
        <v>556904</v>
      </c>
      <c r="E3068" t="s">
        <v>2186</v>
      </c>
      <c r="F3068" t="s">
        <v>13</v>
      </c>
    </row>
    <row r="3069" spans="1:6" x14ac:dyDescent="0.25">
      <c r="A3069" t="str">
        <f>"75080745"</f>
        <v>75080745</v>
      </c>
      <c r="B3069" t="s">
        <v>3251</v>
      </c>
      <c r="C3069" t="s">
        <v>15</v>
      </c>
      <c r="D3069" t="str">
        <f t="shared" si="101"/>
        <v>556904</v>
      </c>
      <c r="E3069" t="s">
        <v>2186</v>
      </c>
      <c r="F3069" t="s">
        <v>11</v>
      </c>
    </row>
    <row r="3070" spans="1:6" x14ac:dyDescent="0.25">
      <c r="A3070" t="str">
        <f>"70823090"</f>
        <v>70823090</v>
      </c>
      <c r="B3070" t="s">
        <v>3252</v>
      </c>
      <c r="C3070" t="s">
        <v>7</v>
      </c>
      <c r="D3070" t="str">
        <f t="shared" si="101"/>
        <v>556904</v>
      </c>
      <c r="E3070" t="s">
        <v>2186</v>
      </c>
      <c r="F3070" t="s">
        <v>11</v>
      </c>
    </row>
    <row r="3071" spans="1:6" x14ac:dyDescent="0.25">
      <c r="A3071" t="str">
        <f>"46749012"</f>
        <v>46749012</v>
      </c>
      <c r="B3071" t="s">
        <v>3253</v>
      </c>
      <c r="C3071" t="s">
        <v>7</v>
      </c>
      <c r="D3071" t="str">
        <f t="shared" si="101"/>
        <v>556904</v>
      </c>
      <c r="E3071" t="s">
        <v>2186</v>
      </c>
      <c r="F3071" t="s">
        <v>13</v>
      </c>
    </row>
    <row r="3072" spans="1:6" x14ac:dyDescent="0.25">
      <c r="A3072" t="str">
        <f>"01342843"</f>
        <v>01342843</v>
      </c>
      <c r="B3072" t="s">
        <v>3254</v>
      </c>
      <c r="C3072" t="s">
        <v>7</v>
      </c>
      <c r="D3072" t="str">
        <f t="shared" si="101"/>
        <v>556904</v>
      </c>
      <c r="E3072" t="s">
        <v>2186</v>
      </c>
      <c r="F3072" t="s">
        <v>13</v>
      </c>
    </row>
    <row r="3073" spans="1:6" x14ac:dyDescent="0.25">
      <c r="A3073" t="str">
        <f>"44223307"</f>
        <v>44223307</v>
      </c>
      <c r="B3073" t="s">
        <v>3255</v>
      </c>
      <c r="C3073" t="s">
        <v>7</v>
      </c>
      <c r="D3073" t="str">
        <f t="shared" si="101"/>
        <v>556904</v>
      </c>
      <c r="E3073" t="s">
        <v>2186</v>
      </c>
      <c r="F3073" t="s">
        <v>13</v>
      </c>
    </row>
    <row r="3074" spans="1:6" x14ac:dyDescent="0.25">
      <c r="A3074" t="str">
        <f>"26998343"</f>
        <v>26998343</v>
      </c>
      <c r="B3074" t="s">
        <v>3256</v>
      </c>
      <c r="C3074" t="s">
        <v>7</v>
      </c>
      <c r="D3074" t="str">
        <f t="shared" si="101"/>
        <v>556904</v>
      </c>
      <c r="E3074" t="s">
        <v>2186</v>
      </c>
      <c r="F3074" t="s">
        <v>11</v>
      </c>
    </row>
    <row r="3075" spans="1:6" x14ac:dyDescent="0.25">
      <c r="A3075" t="str">
        <f>"66110220"</f>
        <v>66110220</v>
      </c>
      <c r="B3075" t="s">
        <v>3257</v>
      </c>
      <c r="C3075" t="s">
        <v>15</v>
      </c>
      <c r="D3075" t="str">
        <f t="shared" si="101"/>
        <v>556904</v>
      </c>
      <c r="E3075" t="s">
        <v>2186</v>
      </c>
      <c r="F3075" t="s">
        <v>137</v>
      </c>
    </row>
    <row r="3076" spans="1:6" x14ac:dyDescent="0.25">
      <c r="A3076" t="str">
        <f>"26663546"</f>
        <v>26663546</v>
      </c>
      <c r="B3076" t="s">
        <v>3258</v>
      </c>
      <c r="C3076" t="s">
        <v>7</v>
      </c>
      <c r="D3076" t="str">
        <f t="shared" si="101"/>
        <v>556904</v>
      </c>
      <c r="E3076" t="s">
        <v>2186</v>
      </c>
      <c r="F3076" t="s">
        <v>11</v>
      </c>
    </row>
    <row r="3077" spans="1:6" x14ac:dyDescent="0.25">
      <c r="A3077" t="str">
        <f>"03222977"</f>
        <v>03222977</v>
      </c>
      <c r="B3077" t="s">
        <v>3259</v>
      </c>
      <c r="C3077" t="s">
        <v>7</v>
      </c>
      <c r="D3077" t="str">
        <f t="shared" si="101"/>
        <v>556904</v>
      </c>
      <c r="E3077" t="s">
        <v>2186</v>
      </c>
      <c r="F3077" t="s">
        <v>62</v>
      </c>
    </row>
    <row r="3078" spans="1:6" x14ac:dyDescent="0.25">
      <c r="A3078" t="str">
        <f>"26679370"</f>
        <v>26679370</v>
      </c>
      <c r="B3078" t="s">
        <v>3260</v>
      </c>
      <c r="C3078" t="s">
        <v>7</v>
      </c>
      <c r="D3078" t="str">
        <f t="shared" si="101"/>
        <v>556904</v>
      </c>
      <c r="E3078" t="s">
        <v>2186</v>
      </c>
      <c r="F3078" t="s">
        <v>11</v>
      </c>
    </row>
    <row r="3079" spans="1:6" x14ac:dyDescent="0.25">
      <c r="A3079" t="str">
        <f>"22757155"</f>
        <v>22757155</v>
      </c>
      <c r="B3079" t="s">
        <v>3261</v>
      </c>
      <c r="C3079" t="s">
        <v>7</v>
      </c>
      <c r="D3079" t="str">
        <f t="shared" si="101"/>
        <v>556904</v>
      </c>
      <c r="E3079" t="s">
        <v>2186</v>
      </c>
      <c r="F3079" t="s">
        <v>35</v>
      </c>
    </row>
    <row r="3080" spans="1:6" x14ac:dyDescent="0.25">
      <c r="A3080" t="str">
        <f>"26672472"</f>
        <v>26672472</v>
      </c>
      <c r="B3080" t="s">
        <v>3262</v>
      </c>
      <c r="C3080" t="s">
        <v>7</v>
      </c>
      <c r="D3080" t="str">
        <f t="shared" si="101"/>
        <v>556904</v>
      </c>
      <c r="E3080" t="s">
        <v>2186</v>
      </c>
      <c r="F3080" t="s">
        <v>326</v>
      </c>
    </row>
    <row r="3081" spans="1:6" x14ac:dyDescent="0.25">
      <c r="A3081" t="str">
        <f>"68299915"</f>
        <v>68299915</v>
      </c>
      <c r="B3081" t="s">
        <v>3263</v>
      </c>
      <c r="C3081" t="s">
        <v>7</v>
      </c>
      <c r="D3081" t="str">
        <f t="shared" si="101"/>
        <v>556904</v>
      </c>
      <c r="E3081" t="s">
        <v>2186</v>
      </c>
      <c r="F3081" t="s">
        <v>11</v>
      </c>
    </row>
    <row r="3082" spans="1:6" x14ac:dyDescent="0.25">
      <c r="A3082" t="str">
        <f>"65635400"</f>
        <v>65635400</v>
      </c>
      <c r="B3082" t="s">
        <v>3264</v>
      </c>
      <c r="C3082" t="s">
        <v>7</v>
      </c>
      <c r="D3082" t="str">
        <f t="shared" si="101"/>
        <v>556904</v>
      </c>
      <c r="E3082" t="s">
        <v>2186</v>
      </c>
      <c r="F3082" t="s">
        <v>254</v>
      </c>
    </row>
    <row r="3083" spans="1:6" x14ac:dyDescent="0.25">
      <c r="A3083" t="str">
        <f>"27058417"</f>
        <v>27058417</v>
      </c>
      <c r="B3083" t="s">
        <v>3265</v>
      </c>
      <c r="C3083" t="s">
        <v>7</v>
      </c>
      <c r="D3083" t="str">
        <f t="shared" si="101"/>
        <v>556904</v>
      </c>
      <c r="E3083" t="s">
        <v>2186</v>
      </c>
      <c r="F3083" t="s">
        <v>11</v>
      </c>
    </row>
    <row r="3084" spans="1:6" x14ac:dyDescent="0.25">
      <c r="A3084" t="str">
        <f>"69410984"</f>
        <v>69410984</v>
      </c>
      <c r="B3084" t="s">
        <v>3266</v>
      </c>
      <c r="C3084" t="s">
        <v>7</v>
      </c>
      <c r="D3084" t="str">
        <f t="shared" si="101"/>
        <v>556904</v>
      </c>
      <c r="E3084" t="s">
        <v>2186</v>
      </c>
      <c r="F3084" t="s">
        <v>254</v>
      </c>
    </row>
    <row r="3085" spans="1:6" x14ac:dyDescent="0.25">
      <c r="A3085" t="str">
        <f>"22874798"</f>
        <v>22874798</v>
      </c>
      <c r="B3085" t="s">
        <v>3267</v>
      </c>
      <c r="C3085" t="s">
        <v>7</v>
      </c>
      <c r="D3085" t="str">
        <f t="shared" si="101"/>
        <v>556904</v>
      </c>
      <c r="E3085" t="s">
        <v>2186</v>
      </c>
      <c r="F3085" t="s">
        <v>11</v>
      </c>
    </row>
    <row r="3086" spans="1:6" x14ac:dyDescent="0.25">
      <c r="A3086" t="str">
        <f>"17387345"</f>
        <v>17387345</v>
      </c>
      <c r="B3086" t="s">
        <v>3268</v>
      </c>
      <c r="C3086" t="s">
        <v>7</v>
      </c>
      <c r="D3086" t="str">
        <f t="shared" si="101"/>
        <v>556904</v>
      </c>
      <c r="E3086" t="s">
        <v>2186</v>
      </c>
      <c r="F3086" t="s">
        <v>11</v>
      </c>
    </row>
    <row r="3087" spans="1:6" x14ac:dyDescent="0.25">
      <c r="A3087" t="str">
        <f>"69898600"</f>
        <v>69898600</v>
      </c>
      <c r="B3087" t="s">
        <v>3269</v>
      </c>
      <c r="C3087" t="s">
        <v>7</v>
      </c>
      <c r="D3087" t="str">
        <f t="shared" si="101"/>
        <v>556904</v>
      </c>
      <c r="E3087" t="s">
        <v>2186</v>
      </c>
      <c r="F3087" t="s">
        <v>13</v>
      </c>
    </row>
    <row r="3088" spans="1:6" x14ac:dyDescent="0.25">
      <c r="A3088" t="str">
        <f>"27055396"</f>
        <v>27055396</v>
      </c>
      <c r="B3088" t="s">
        <v>3270</v>
      </c>
      <c r="C3088" t="s">
        <v>7</v>
      </c>
      <c r="D3088" t="str">
        <f t="shared" si="101"/>
        <v>556904</v>
      </c>
      <c r="E3088" t="s">
        <v>2186</v>
      </c>
      <c r="F3088" t="s">
        <v>9</v>
      </c>
    </row>
    <row r="3089" spans="1:6" x14ac:dyDescent="0.25">
      <c r="A3089" t="str">
        <f>"07835086"</f>
        <v>07835086</v>
      </c>
      <c r="B3089" t="s">
        <v>3271</v>
      </c>
      <c r="C3089" t="s">
        <v>7</v>
      </c>
      <c r="D3089" t="str">
        <f t="shared" si="101"/>
        <v>556904</v>
      </c>
      <c r="E3089" t="s">
        <v>2186</v>
      </c>
      <c r="F3089" t="s">
        <v>13</v>
      </c>
    </row>
    <row r="3090" spans="1:6" x14ac:dyDescent="0.25">
      <c r="A3090" t="str">
        <f>"22875794"</f>
        <v>22875794</v>
      </c>
      <c r="B3090" t="s">
        <v>3272</v>
      </c>
      <c r="C3090" t="s">
        <v>7</v>
      </c>
      <c r="D3090" t="str">
        <f t="shared" si="101"/>
        <v>556904</v>
      </c>
      <c r="E3090" t="s">
        <v>2186</v>
      </c>
      <c r="F3090" t="s">
        <v>11</v>
      </c>
    </row>
    <row r="3091" spans="1:6" x14ac:dyDescent="0.25">
      <c r="A3091" t="str">
        <f>"01308637"</f>
        <v>01308637</v>
      </c>
      <c r="B3091" t="s">
        <v>3273</v>
      </c>
      <c r="C3091" t="s">
        <v>7</v>
      </c>
      <c r="D3091" t="str">
        <f t="shared" si="101"/>
        <v>556904</v>
      </c>
      <c r="E3091" t="s">
        <v>2186</v>
      </c>
      <c r="F3091" t="s">
        <v>11</v>
      </c>
    </row>
    <row r="3092" spans="1:6" x14ac:dyDescent="0.25">
      <c r="A3092" t="str">
        <f>"02576708"</f>
        <v>02576708</v>
      </c>
      <c r="B3092" t="s">
        <v>3274</v>
      </c>
      <c r="C3092" t="s">
        <v>78</v>
      </c>
      <c r="D3092" t="str">
        <f t="shared" si="101"/>
        <v>556904</v>
      </c>
      <c r="E3092" t="s">
        <v>2186</v>
      </c>
      <c r="F3092" t="s">
        <v>3275</v>
      </c>
    </row>
    <row r="3093" spans="1:6" x14ac:dyDescent="0.25">
      <c r="A3093" t="str">
        <f>"27042758"</f>
        <v>27042758</v>
      </c>
      <c r="B3093" t="s">
        <v>3276</v>
      </c>
      <c r="C3093" t="s">
        <v>7</v>
      </c>
      <c r="D3093" t="str">
        <f t="shared" si="101"/>
        <v>556904</v>
      </c>
      <c r="E3093" t="s">
        <v>2186</v>
      </c>
      <c r="F3093" t="s">
        <v>11</v>
      </c>
    </row>
    <row r="3094" spans="1:6" x14ac:dyDescent="0.25">
      <c r="A3094" t="str">
        <f>"22762841"</f>
        <v>22762841</v>
      </c>
      <c r="B3094" t="s">
        <v>3277</v>
      </c>
      <c r="C3094" t="s">
        <v>15</v>
      </c>
      <c r="D3094" t="str">
        <f t="shared" si="101"/>
        <v>556904</v>
      </c>
      <c r="E3094" t="s">
        <v>2186</v>
      </c>
      <c r="F3094" t="s">
        <v>621</v>
      </c>
    </row>
    <row r="3095" spans="1:6" x14ac:dyDescent="0.25">
      <c r="A3095" t="str">
        <f>"75158621"</f>
        <v>75158621</v>
      </c>
      <c r="B3095" t="s">
        <v>3278</v>
      </c>
      <c r="C3095" t="s">
        <v>15</v>
      </c>
      <c r="D3095" t="str">
        <f t="shared" si="101"/>
        <v>556904</v>
      </c>
      <c r="E3095" t="s">
        <v>2186</v>
      </c>
      <c r="F3095" t="s">
        <v>621</v>
      </c>
    </row>
    <row r="3096" spans="1:6" x14ac:dyDescent="0.25">
      <c r="A3096" t="str">
        <f>"07366337"</f>
        <v>07366337</v>
      </c>
      <c r="B3096" t="s">
        <v>3279</v>
      </c>
      <c r="C3096" t="s">
        <v>15</v>
      </c>
      <c r="D3096" t="str">
        <f t="shared" si="101"/>
        <v>556904</v>
      </c>
      <c r="E3096" t="s">
        <v>2186</v>
      </c>
      <c r="F3096" t="s">
        <v>9</v>
      </c>
    </row>
    <row r="3097" spans="1:6" x14ac:dyDescent="0.25">
      <c r="A3097" t="str">
        <f>"70811636"</f>
        <v>70811636</v>
      </c>
      <c r="B3097" t="s">
        <v>3280</v>
      </c>
      <c r="C3097" t="s">
        <v>7</v>
      </c>
      <c r="D3097" t="str">
        <f t="shared" si="101"/>
        <v>556904</v>
      </c>
      <c r="E3097" t="s">
        <v>2186</v>
      </c>
      <c r="F3097" t="s">
        <v>11</v>
      </c>
    </row>
    <row r="3098" spans="1:6" x14ac:dyDescent="0.25">
      <c r="A3098" t="str">
        <f>"02761874"</f>
        <v>02761874</v>
      </c>
      <c r="B3098" t="s">
        <v>3281</v>
      </c>
      <c r="C3098" t="s">
        <v>7</v>
      </c>
      <c r="D3098" t="str">
        <f t="shared" si="101"/>
        <v>556904</v>
      </c>
      <c r="E3098" t="s">
        <v>2186</v>
      </c>
      <c r="F3098" t="s">
        <v>11</v>
      </c>
    </row>
    <row r="3099" spans="1:6" x14ac:dyDescent="0.25">
      <c r="A3099" t="str">
        <f>"65100204"</f>
        <v>65100204</v>
      </c>
      <c r="B3099" t="s">
        <v>3282</v>
      </c>
      <c r="C3099" t="s">
        <v>15</v>
      </c>
      <c r="D3099" t="str">
        <f t="shared" si="101"/>
        <v>556904</v>
      </c>
      <c r="E3099" t="s">
        <v>2186</v>
      </c>
      <c r="F3099" t="s">
        <v>16</v>
      </c>
    </row>
    <row r="3100" spans="1:6" x14ac:dyDescent="0.25">
      <c r="A3100" t="str">
        <f>"71171452"</f>
        <v>71171452</v>
      </c>
      <c r="B3100" t="s">
        <v>3283</v>
      </c>
      <c r="C3100" t="s">
        <v>15</v>
      </c>
      <c r="D3100" t="str">
        <f t="shared" si="101"/>
        <v>556904</v>
      </c>
      <c r="E3100" t="s">
        <v>2186</v>
      </c>
      <c r="F3100" t="s">
        <v>16</v>
      </c>
    </row>
    <row r="3101" spans="1:6" x14ac:dyDescent="0.25">
      <c r="A3101" t="str">
        <f>"64039145"</f>
        <v>64039145</v>
      </c>
      <c r="B3101" t="s">
        <v>3284</v>
      </c>
      <c r="C3101" t="s">
        <v>15</v>
      </c>
      <c r="D3101" t="str">
        <f t="shared" si="101"/>
        <v>556904</v>
      </c>
      <c r="E3101" t="s">
        <v>2186</v>
      </c>
      <c r="F3101" t="s">
        <v>16</v>
      </c>
    </row>
    <row r="3102" spans="1:6" x14ac:dyDescent="0.25">
      <c r="A3102" t="str">
        <f>"22893750"</f>
        <v>22893750</v>
      </c>
      <c r="B3102" t="s">
        <v>3285</v>
      </c>
      <c r="C3102" t="s">
        <v>15</v>
      </c>
      <c r="D3102" t="str">
        <f t="shared" si="101"/>
        <v>556904</v>
      </c>
      <c r="E3102" t="s">
        <v>2186</v>
      </c>
      <c r="F3102" t="s">
        <v>16</v>
      </c>
    </row>
    <row r="3103" spans="1:6" x14ac:dyDescent="0.25">
      <c r="A3103" t="str">
        <f>"46749969"</f>
        <v>46749969</v>
      </c>
      <c r="B3103" t="s">
        <v>3286</v>
      </c>
      <c r="C3103" t="s">
        <v>15</v>
      </c>
      <c r="D3103" t="str">
        <f t="shared" si="101"/>
        <v>556904</v>
      </c>
      <c r="E3103" t="s">
        <v>2186</v>
      </c>
      <c r="F3103" t="s">
        <v>16</v>
      </c>
    </row>
    <row r="3104" spans="1:6" x14ac:dyDescent="0.25">
      <c r="A3104" t="str">
        <f>"64039366"</f>
        <v>64039366</v>
      </c>
      <c r="B3104" t="s">
        <v>3287</v>
      </c>
      <c r="C3104" t="s">
        <v>15</v>
      </c>
      <c r="D3104" t="str">
        <f t="shared" si="101"/>
        <v>556904</v>
      </c>
      <c r="E3104" t="s">
        <v>2186</v>
      </c>
      <c r="F3104" t="s">
        <v>16</v>
      </c>
    </row>
    <row r="3105" spans="1:6" x14ac:dyDescent="0.25">
      <c r="A3105" t="str">
        <f>"64039153"</f>
        <v>64039153</v>
      </c>
      <c r="B3105" t="s">
        <v>3288</v>
      </c>
      <c r="C3105" t="s">
        <v>15</v>
      </c>
      <c r="D3105" t="str">
        <f t="shared" si="101"/>
        <v>556904</v>
      </c>
      <c r="E3105" t="s">
        <v>2186</v>
      </c>
      <c r="F3105" t="s">
        <v>16</v>
      </c>
    </row>
    <row r="3106" spans="1:6" x14ac:dyDescent="0.25">
      <c r="A3106" t="str">
        <f>"72541245"</f>
        <v>72541245</v>
      </c>
      <c r="B3106" t="s">
        <v>3289</v>
      </c>
      <c r="C3106" t="s">
        <v>15</v>
      </c>
      <c r="D3106" t="str">
        <f t="shared" si="101"/>
        <v>556904</v>
      </c>
      <c r="E3106" t="s">
        <v>2186</v>
      </c>
      <c r="F3106" t="s">
        <v>16</v>
      </c>
    </row>
    <row r="3107" spans="1:6" x14ac:dyDescent="0.25">
      <c r="A3107" t="str">
        <f>"64039323"</f>
        <v>64039323</v>
      </c>
      <c r="B3107" t="s">
        <v>3290</v>
      </c>
      <c r="C3107" t="s">
        <v>15</v>
      </c>
      <c r="D3107" t="str">
        <f t="shared" si="101"/>
        <v>556904</v>
      </c>
      <c r="E3107" t="s">
        <v>2186</v>
      </c>
      <c r="F3107" t="s">
        <v>16</v>
      </c>
    </row>
    <row r="3108" spans="1:6" x14ac:dyDescent="0.25">
      <c r="A3108" t="str">
        <f>"64039226"</f>
        <v>64039226</v>
      </c>
      <c r="B3108" t="s">
        <v>3291</v>
      </c>
      <c r="C3108" t="s">
        <v>15</v>
      </c>
      <c r="D3108" t="str">
        <f t="shared" si="101"/>
        <v>556904</v>
      </c>
      <c r="E3108" t="s">
        <v>2186</v>
      </c>
      <c r="F3108" t="s">
        <v>16</v>
      </c>
    </row>
    <row r="3109" spans="1:6" x14ac:dyDescent="0.25">
      <c r="A3109" t="str">
        <f>"64039234"</f>
        <v>64039234</v>
      </c>
      <c r="B3109" t="s">
        <v>3292</v>
      </c>
      <c r="C3109" t="s">
        <v>15</v>
      </c>
      <c r="D3109" t="str">
        <f t="shared" si="101"/>
        <v>556904</v>
      </c>
      <c r="E3109" t="s">
        <v>2186</v>
      </c>
      <c r="F3109" t="s">
        <v>16</v>
      </c>
    </row>
    <row r="3110" spans="1:6" x14ac:dyDescent="0.25">
      <c r="A3110" t="str">
        <f>"46744495"</f>
        <v>46744495</v>
      </c>
      <c r="B3110" t="s">
        <v>3293</v>
      </c>
      <c r="C3110" t="s">
        <v>15</v>
      </c>
      <c r="D3110" t="str">
        <f t="shared" si="101"/>
        <v>556904</v>
      </c>
      <c r="E3110" t="s">
        <v>2186</v>
      </c>
      <c r="F3110" t="s">
        <v>16</v>
      </c>
    </row>
    <row r="3111" spans="1:6" x14ac:dyDescent="0.25">
      <c r="A3111" t="str">
        <f>"08785856"</f>
        <v>08785856</v>
      </c>
      <c r="B3111" t="s">
        <v>3294</v>
      </c>
      <c r="C3111" t="s">
        <v>7</v>
      </c>
      <c r="D3111" t="str">
        <f t="shared" si="101"/>
        <v>556904</v>
      </c>
      <c r="E3111" t="s">
        <v>2186</v>
      </c>
      <c r="F3111" t="s">
        <v>62</v>
      </c>
    </row>
    <row r="3112" spans="1:6" x14ac:dyDescent="0.25">
      <c r="A3112" t="str">
        <f>"17352088"</f>
        <v>17352088</v>
      </c>
      <c r="B3112" t="s">
        <v>3295</v>
      </c>
      <c r="C3112" t="s">
        <v>7</v>
      </c>
      <c r="D3112" t="str">
        <f t="shared" ref="D3112:D3175" si="102">"556904"</f>
        <v>556904</v>
      </c>
      <c r="E3112" t="s">
        <v>2186</v>
      </c>
      <c r="F3112" t="s">
        <v>62</v>
      </c>
    </row>
    <row r="3113" spans="1:6" x14ac:dyDescent="0.25">
      <c r="A3113" t="str">
        <f>"28551931"</f>
        <v>28551931</v>
      </c>
      <c r="B3113" t="s">
        <v>3296</v>
      </c>
      <c r="C3113" t="s">
        <v>7</v>
      </c>
      <c r="D3113" t="str">
        <f t="shared" si="102"/>
        <v>556904</v>
      </c>
      <c r="E3113" t="s">
        <v>2186</v>
      </c>
      <c r="F3113" t="s">
        <v>424</v>
      </c>
    </row>
    <row r="3114" spans="1:6" x14ac:dyDescent="0.25">
      <c r="A3114" t="str">
        <f>"22612807"</f>
        <v>22612807</v>
      </c>
      <c r="B3114" t="s">
        <v>3297</v>
      </c>
      <c r="C3114" t="s">
        <v>7</v>
      </c>
      <c r="D3114" t="str">
        <f t="shared" si="102"/>
        <v>556904</v>
      </c>
      <c r="E3114" t="s">
        <v>2186</v>
      </c>
      <c r="F3114" t="s">
        <v>62</v>
      </c>
    </row>
    <row r="3115" spans="1:6" x14ac:dyDescent="0.25">
      <c r="A3115" t="str">
        <f>"70229775"</f>
        <v>70229775</v>
      </c>
      <c r="B3115" t="s">
        <v>3298</v>
      </c>
      <c r="C3115" t="s">
        <v>7</v>
      </c>
      <c r="D3115" t="str">
        <f t="shared" si="102"/>
        <v>556904</v>
      </c>
      <c r="E3115" t="s">
        <v>2186</v>
      </c>
      <c r="F3115" t="s">
        <v>11</v>
      </c>
    </row>
    <row r="3116" spans="1:6" x14ac:dyDescent="0.25">
      <c r="A3116" t="str">
        <f>"27032906"</f>
        <v>27032906</v>
      </c>
      <c r="B3116" t="s">
        <v>3299</v>
      </c>
      <c r="C3116" t="s">
        <v>7</v>
      </c>
      <c r="D3116" t="str">
        <f t="shared" si="102"/>
        <v>556904</v>
      </c>
      <c r="E3116" t="s">
        <v>2186</v>
      </c>
      <c r="F3116" t="s">
        <v>35</v>
      </c>
    </row>
    <row r="3117" spans="1:6" x14ac:dyDescent="0.25">
      <c r="A3117" t="str">
        <f>"46746200"</f>
        <v>46746200</v>
      </c>
      <c r="B3117" t="s">
        <v>3300</v>
      </c>
      <c r="C3117" t="s">
        <v>7</v>
      </c>
      <c r="D3117" t="str">
        <f t="shared" si="102"/>
        <v>556904</v>
      </c>
      <c r="E3117" t="s">
        <v>2186</v>
      </c>
      <c r="F3117" t="s">
        <v>9</v>
      </c>
    </row>
    <row r="3118" spans="1:6" x14ac:dyDescent="0.25">
      <c r="A3118" t="str">
        <f>"46749284"</f>
        <v>46749284</v>
      </c>
      <c r="B3118" t="s">
        <v>3301</v>
      </c>
      <c r="C3118" t="s">
        <v>7</v>
      </c>
      <c r="D3118" t="str">
        <f t="shared" si="102"/>
        <v>556904</v>
      </c>
      <c r="E3118" t="s">
        <v>2186</v>
      </c>
      <c r="F3118" t="s">
        <v>9</v>
      </c>
    </row>
    <row r="3119" spans="1:6" x14ac:dyDescent="0.25">
      <c r="A3119" t="str">
        <f>"02486750"</f>
        <v>02486750</v>
      </c>
      <c r="B3119" t="s">
        <v>3302</v>
      </c>
      <c r="C3119" t="s">
        <v>7</v>
      </c>
      <c r="D3119" t="str">
        <f t="shared" si="102"/>
        <v>556904</v>
      </c>
      <c r="E3119" t="s">
        <v>2186</v>
      </c>
      <c r="F3119" t="s">
        <v>35</v>
      </c>
    </row>
    <row r="3120" spans="1:6" x14ac:dyDescent="0.25">
      <c r="A3120" t="str">
        <f>"70845697"</f>
        <v>70845697</v>
      </c>
      <c r="B3120" t="s">
        <v>3303</v>
      </c>
      <c r="C3120" t="s">
        <v>7</v>
      </c>
      <c r="D3120" t="str">
        <f t="shared" si="102"/>
        <v>556904</v>
      </c>
      <c r="E3120" t="s">
        <v>2186</v>
      </c>
      <c r="F3120" t="s">
        <v>65</v>
      </c>
    </row>
    <row r="3121" spans="1:6" x14ac:dyDescent="0.25">
      <c r="A3121" t="str">
        <f>"70851450"</f>
        <v>70851450</v>
      </c>
      <c r="B3121" t="s">
        <v>3304</v>
      </c>
      <c r="C3121" t="s">
        <v>7</v>
      </c>
      <c r="D3121" t="str">
        <f t="shared" si="102"/>
        <v>556904</v>
      </c>
      <c r="E3121" t="s">
        <v>2186</v>
      </c>
      <c r="F3121" t="s">
        <v>9</v>
      </c>
    </row>
    <row r="3122" spans="1:6" x14ac:dyDescent="0.25">
      <c r="A3122" t="str">
        <f>"27010856"</f>
        <v>27010856</v>
      </c>
      <c r="B3122" t="s">
        <v>3305</v>
      </c>
      <c r="C3122" t="s">
        <v>7</v>
      </c>
      <c r="D3122" t="str">
        <f t="shared" si="102"/>
        <v>556904</v>
      </c>
      <c r="E3122" t="s">
        <v>2186</v>
      </c>
      <c r="F3122" t="s">
        <v>9</v>
      </c>
    </row>
    <row r="3123" spans="1:6" x14ac:dyDescent="0.25">
      <c r="A3123" t="str">
        <f>"26672936"</f>
        <v>26672936</v>
      </c>
      <c r="B3123" t="s">
        <v>3306</v>
      </c>
      <c r="C3123" t="s">
        <v>7</v>
      </c>
      <c r="D3123" t="str">
        <f t="shared" si="102"/>
        <v>556904</v>
      </c>
      <c r="E3123" t="s">
        <v>2186</v>
      </c>
      <c r="F3123" t="s">
        <v>9</v>
      </c>
    </row>
    <row r="3124" spans="1:6" x14ac:dyDescent="0.25">
      <c r="A3124" t="str">
        <f>"26675099"</f>
        <v>26675099</v>
      </c>
      <c r="B3124" t="s">
        <v>3307</v>
      </c>
      <c r="C3124" t="s">
        <v>7</v>
      </c>
      <c r="D3124" t="str">
        <f t="shared" si="102"/>
        <v>556904</v>
      </c>
      <c r="E3124" t="s">
        <v>2186</v>
      </c>
      <c r="F3124" t="s">
        <v>9</v>
      </c>
    </row>
    <row r="3125" spans="1:6" x14ac:dyDescent="0.25">
      <c r="A3125" t="str">
        <f>"11878321"</f>
        <v>11878321</v>
      </c>
      <c r="B3125" t="s">
        <v>3308</v>
      </c>
      <c r="C3125" t="s">
        <v>7</v>
      </c>
      <c r="D3125" t="str">
        <f t="shared" si="102"/>
        <v>556904</v>
      </c>
      <c r="E3125" t="s">
        <v>2186</v>
      </c>
      <c r="F3125" t="s">
        <v>35</v>
      </c>
    </row>
    <row r="3126" spans="1:6" x14ac:dyDescent="0.25">
      <c r="A3126" t="str">
        <f>"41329856"</f>
        <v>41329856</v>
      </c>
      <c r="B3126" t="s">
        <v>3309</v>
      </c>
      <c r="C3126" t="s">
        <v>7</v>
      </c>
      <c r="D3126" t="str">
        <f t="shared" si="102"/>
        <v>556904</v>
      </c>
      <c r="E3126" t="s">
        <v>2186</v>
      </c>
      <c r="F3126" t="s">
        <v>9</v>
      </c>
    </row>
    <row r="3127" spans="1:6" x14ac:dyDescent="0.25">
      <c r="A3127" t="str">
        <f>"26670224"</f>
        <v>26670224</v>
      </c>
      <c r="B3127" t="s">
        <v>3310</v>
      </c>
      <c r="C3127" t="s">
        <v>7</v>
      </c>
      <c r="D3127" t="str">
        <f t="shared" si="102"/>
        <v>556904</v>
      </c>
      <c r="E3127" t="s">
        <v>2186</v>
      </c>
      <c r="F3127" t="s">
        <v>35</v>
      </c>
    </row>
    <row r="3128" spans="1:6" x14ac:dyDescent="0.25">
      <c r="A3128" t="str">
        <f>"05299047"</f>
        <v>05299047</v>
      </c>
      <c r="B3128" t="s">
        <v>3311</v>
      </c>
      <c r="C3128" t="s">
        <v>7</v>
      </c>
      <c r="D3128" t="str">
        <f t="shared" si="102"/>
        <v>556904</v>
      </c>
      <c r="E3128" t="s">
        <v>2186</v>
      </c>
      <c r="F3128" t="s">
        <v>35</v>
      </c>
    </row>
    <row r="3129" spans="1:6" x14ac:dyDescent="0.25">
      <c r="A3129" t="str">
        <f>"46746790"</f>
        <v>46746790</v>
      </c>
      <c r="B3129" t="s">
        <v>3312</v>
      </c>
      <c r="C3129" t="s">
        <v>7</v>
      </c>
      <c r="D3129" t="str">
        <f t="shared" si="102"/>
        <v>556904</v>
      </c>
      <c r="E3129" t="s">
        <v>2186</v>
      </c>
      <c r="F3129" t="s">
        <v>9</v>
      </c>
    </row>
    <row r="3130" spans="1:6" x14ac:dyDescent="0.25">
      <c r="A3130" t="str">
        <f>"22866507"</f>
        <v>22866507</v>
      </c>
      <c r="B3130" t="s">
        <v>3313</v>
      </c>
      <c r="C3130" t="s">
        <v>7</v>
      </c>
      <c r="D3130" t="str">
        <f t="shared" si="102"/>
        <v>556904</v>
      </c>
      <c r="E3130" t="s">
        <v>2186</v>
      </c>
      <c r="F3130" t="s">
        <v>35</v>
      </c>
    </row>
    <row r="3131" spans="1:6" x14ac:dyDescent="0.25">
      <c r="A3131" t="str">
        <f>"64040321"</f>
        <v>64040321</v>
      </c>
      <c r="B3131" t="s">
        <v>3314</v>
      </c>
      <c r="C3131" t="s">
        <v>7</v>
      </c>
      <c r="D3131" t="str">
        <f t="shared" si="102"/>
        <v>556904</v>
      </c>
      <c r="E3131" t="s">
        <v>2186</v>
      </c>
      <c r="F3131" t="s">
        <v>9</v>
      </c>
    </row>
    <row r="3132" spans="1:6" x14ac:dyDescent="0.25">
      <c r="A3132" t="str">
        <f>"22822941"</f>
        <v>22822941</v>
      </c>
      <c r="B3132" t="s">
        <v>3315</v>
      </c>
      <c r="C3132" t="s">
        <v>7</v>
      </c>
      <c r="D3132" t="str">
        <f t="shared" si="102"/>
        <v>556904</v>
      </c>
      <c r="E3132" t="s">
        <v>2186</v>
      </c>
      <c r="F3132" t="s">
        <v>35</v>
      </c>
    </row>
    <row r="3133" spans="1:6" x14ac:dyDescent="0.25">
      <c r="A3133" t="str">
        <f>"26989191"</f>
        <v>26989191</v>
      </c>
      <c r="B3133" t="s">
        <v>3316</v>
      </c>
      <c r="C3133" t="s">
        <v>7</v>
      </c>
      <c r="D3133" t="str">
        <f t="shared" si="102"/>
        <v>556904</v>
      </c>
      <c r="E3133" t="s">
        <v>2186</v>
      </c>
      <c r="F3133" t="s">
        <v>9</v>
      </c>
    </row>
    <row r="3134" spans="1:6" x14ac:dyDescent="0.25">
      <c r="A3134" t="str">
        <f>"70823081"</f>
        <v>70823081</v>
      </c>
      <c r="B3134" t="s">
        <v>3317</v>
      </c>
      <c r="C3134" t="s">
        <v>7</v>
      </c>
      <c r="D3134" t="str">
        <f t="shared" si="102"/>
        <v>556904</v>
      </c>
      <c r="E3134" t="s">
        <v>2186</v>
      </c>
      <c r="F3134" t="s">
        <v>65</v>
      </c>
    </row>
    <row r="3135" spans="1:6" x14ac:dyDescent="0.25">
      <c r="A3135" t="str">
        <f>"02438259"</f>
        <v>02438259</v>
      </c>
      <c r="B3135" t="s">
        <v>3318</v>
      </c>
      <c r="C3135" t="s">
        <v>7</v>
      </c>
      <c r="D3135" t="str">
        <f t="shared" si="102"/>
        <v>556904</v>
      </c>
      <c r="E3135" t="s">
        <v>2186</v>
      </c>
      <c r="F3135" t="s">
        <v>35</v>
      </c>
    </row>
    <row r="3136" spans="1:6" x14ac:dyDescent="0.25">
      <c r="A3136" t="str">
        <f>"08857288"</f>
        <v>08857288</v>
      </c>
      <c r="B3136" t="s">
        <v>3319</v>
      </c>
      <c r="C3136" t="s">
        <v>7</v>
      </c>
      <c r="D3136" t="str">
        <f t="shared" si="102"/>
        <v>556904</v>
      </c>
      <c r="E3136" t="s">
        <v>2186</v>
      </c>
      <c r="F3136" t="s">
        <v>35</v>
      </c>
    </row>
    <row r="3137" spans="1:6" x14ac:dyDescent="0.25">
      <c r="A3137" t="str">
        <f>"22820345"</f>
        <v>22820345</v>
      </c>
      <c r="B3137" t="s">
        <v>3320</v>
      </c>
      <c r="C3137" t="s">
        <v>7</v>
      </c>
      <c r="D3137" t="str">
        <f t="shared" si="102"/>
        <v>556904</v>
      </c>
      <c r="E3137" t="s">
        <v>2186</v>
      </c>
      <c r="F3137" t="s">
        <v>35</v>
      </c>
    </row>
    <row r="3138" spans="1:6" x14ac:dyDescent="0.25">
      <c r="A3138" t="str">
        <f>"19960921"</f>
        <v>19960921</v>
      </c>
      <c r="B3138" t="s">
        <v>3321</v>
      </c>
      <c r="C3138" t="s">
        <v>7</v>
      </c>
      <c r="D3138" t="str">
        <f t="shared" si="102"/>
        <v>556904</v>
      </c>
      <c r="E3138" t="s">
        <v>2186</v>
      </c>
      <c r="F3138" t="s">
        <v>35</v>
      </c>
    </row>
    <row r="3139" spans="1:6" x14ac:dyDescent="0.25">
      <c r="A3139" t="str">
        <f>"22694358"</f>
        <v>22694358</v>
      </c>
      <c r="B3139" t="s">
        <v>3322</v>
      </c>
      <c r="C3139" t="s">
        <v>7</v>
      </c>
      <c r="D3139" t="str">
        <f t="shared" si="102"/>
        <v>556904</v>
      </c>
      <c r="E3139" t="s">
        <v>2186</v>
      </c>
      <c r="F3139" t="s">
        <v>35</v>
      </c>
    </row>
    <row r="3140" spans="1:6" x14ac:dyDescent="0.25">
      <c r="A3140" t="str">
        <f>"04325427"</f>
        <v>04325427</v>
      </c>
      <c r="B3140" t="s">
        <v>3323</v>
      </c>
      <c r="C3140" t="s">
        <v>7</v>
      </c>
      <c r="D3140" t="str">
        <f t="shared" si="102"/>
        <v>556904</v>
      </c>
      <c r="E3140" t="s">
        <v>2186</v>
      </c>
      <c r="F3140" t="s">
        <v>62</v>
      </c>
    </row>
    <row r="3141" spans="1:6" x14ac:dyDescent="0.25">
      <c r="A3141" t="str">
        <f>"03761568"</f>
        <v>03761568</v>
      </c>
      <c r="B3141" t="s">
        <v>3324</v>
      </c>
      <c r="C3141" t="s">
        <v>7</v>
      </c>
      <c r="D3141" t="str">
        <f t="shared" si="102"/>
        <v>556904</v>
      </c>
      <c r="E3141" t="s">
        <v>2186</v>
      </c>
      <c r="F3141" t="s">
        <v>65</v>
      </c>
    </row>
    <row r="3142" spans="1:6" x14ac:dyDescent="0.25">
      <c r="A3142" t="str">
        <f>"41324471"</f>
        <v>41324471</v>
      </c>
      <c r="B3142" t="s">
        <v>3325</v>
      </c>
      <c r="C3142" t="s">
        <v>7</v>
      </c>
      <c r="D3142" t="str">
        <f t="shared" si="102"/>
        <v>556904</v>
      </c>
      <c r="E3142" t="s">
        <v>2186</v>
      </c>
      <c r="F3142" t="s">
        <v>35</v>
      </c>
    </row>
    <row r="3143" spans="1:6" x14ac:dyDescent="0.25">
      <c r="A3143" t="str">
        <f>"02046687"</f>
        <v>02046687</v>
      </c>
      <c r="B3143" t="s">
        <v>3326</v>
      </c>
      <c r="C3143" t="s">
        <v>7</v>
      </c>
      <c r="D3143" t="str">
        <f t="shared" si="102"/>
        <v>556904</v>
      </c>
      <c r="E3143" t="s">
        <v>2186</v>
      </c>
      <c r="F3143" t="s">
        <v>62</v>
      </c>
    </row>
    <row r="3144" spans="1:6" x14ac:dyDescent="0.25">
      <c r="A3144" t="str">
        <f>"27038602"</f>
        <v>27038602</v>
      </c>
      <c r="B3144" t="s">
        <v>3327</v>
      </c>
      <c r="C3144" t="s">
        <v>7</v>
      </c>
      <c r="D3144" t="str">
        <f t="shared" si="102"/>
        <v>556904</v>
      </c>
      <c r="E3144" t="s">
        <v>2186</v>
      </c>
      <c r="F3144" t="s">
        <v>9</v>
      </c>
    </row>
    <row r="3145" spans="1:6" x14ac:dyDescent="0.25">
      <c r="A3145" t="str">
        <f>"04634802"</f>
        <v>04634802</v>
      </c>
      <c r="B3145" t="s">
        <v>3328</v>
      </c>
      <c r="C3145" t="s">
        <v>7</v>
      </c>
      <c r="D3145" t="str">
        <f t="shared" si="102"/>
        <v>556904</v>
      </c>
      <c r="E3145" t="s">
        <v>2186</v>
      </c>
      <c r="F3145" t="s">
        <v>62</v>
      </c>
    </row>
    <row r="3146" spans="1:6" x14ac:dyDescent="0.25">
      <c r="A3146" t="str">
        <f>"22828826"</f>
        <v>22828826</v>
      </c>
      <c r="B3146" t="s">
        <v>3329</v>
      </c>
      <c r="C3146" t="s">
        <v>7</v>
      </c>
      <c r="D3146" t="str">
        <f t="shared" si="102"/>
        <v>556904</v>
      </c>
      <c r="E3146" t="s">
        <v>2186</v>
      </c>
      <c r="F3146" t="s">
        <v>9</v>
      </c>
    </row>
    <row r="3147" spans="1:6" x14ac:dyDescent="0.25">
      <c r="A3147" t="str">
        <f>"42140137"</f>
        <v>42140137</v>
      </c>
      <c r="B3147" t="s">
        <v>3330</v>
      </c>
      <c r="C3147" t="s">
        <v>7</v>
      </c>
      <c r="D3147" t="str">
        <f t="shared" si="102"/>
        <v>556904</v>
      </c>
      <c r="E3147" t="s">
        <v>2186</v>
      </c>
      <c r="F3147" t="s">
        <v>62</v>
      </c>
    </row>
    <row r="3148" spans="1:6" x14ac:dyDescent="0.25">
      <c r="A3148" t="str">
        <f>"17289041"</f>
        <v>17289041</v>
      </c>
      <c r="B3148" t="s">
        <v>3331</v>
      </c>
      <c r="C3148" t="s">
        <v>7</v>
      </c>
      <c r="D3148" t="str">
        <f t="shared" si="102"/>
        <v>556904</v>
      </c>
      <c r="E3148" t="s">
        <v>2186</v>
      </c>
      <c r="F3148" t="s">
        <v>62</v>
      </c>
    </row>
    <row r="3149" spans="1:6" x14ac:dyDescent="0.25">
      <c r="A3149" t="str">
        <f>"08085382"</f>
        <v>08085382</v>
      </c>
      <c r="B3149" t="s">
        <v>3332</v>
      </c>
      <c r="C3149" t="s">
        <v>7</v>
      </c>
      <c r="D3149" t="str">
        <f t="shared" si="102"/>
        <v>556904</v>
      </c>
      <c r="E3149" t="s">
        <v>2186</v>
      </c>
      <c r="F3149" t="s">
        <v>35</v>
      </c>
    </row>
    <row r="3150" spans="1:6" x14ac:dyDescent="0.25">
      <c r="A3150" t="str">
        <f>"07943563"</f>
        <v>07943563</v>
      </c>
      <c r="B3150" t="s">
        <v>3333</v>
      </c>
      <c r="C3150" t="s">
        <v>7</v>
      </c>
      <c r="D3150" t="str">
        <f t="shared" si="102"/>
        <v>556904</v>
      </c>
      <c r="E3150" t="s">
        <v>2186</v>
      </c>
      <c r="F3150" t="s">
        <v>29</v>
      </c>
    </row>
    <row r="3151" spans="1:6" x14ac:dyDescent="0.25">
      <c r="A3151" t="str">
        <f>"28556992"</f>
        <v>28556992</v>
      </c>
      <c r="B3151" t="s">
        <v>3334</v>
      </c>
      <c r="C3151" t="s">
        <v>7</v>
      </c>
      <c r="D3151" t="str">
        <f t="shared" si="102"/>
        <v>556904</v>
      </c>
      <c r="E3151" t="s">
        <v>2186</v>
      </c>
      <c r="F3151" t="s">
        <v>11</v>
      </c>
    </row>
    <row r="3152" spans="1:6" x14ac:dyDescent="0.25">
      <c r="A3152" t="str">
        <f>"22867449"</f>
        <v>22867449</v>
      </c>
      <c r="B3152" t="s">
        <v>3335</v>
      </c>
      <c r="C3152" t="s">
        <v>7</v>
      </c>
      <c r="D3152" t="str">
        <f t="shared" si="102"/>
        <v>556904</v>
      </c>
      <c r="E3152" t="s">
        <v>2186</v>
      </c>
      <c r="F3152" t="s">
        <v>35</v>
      </c>
    </row>
    <row r="3153" spans="1:6" x14ac:dyDescent="0.25">
      <c r="A3153" t="str">
        <f>"07040016"</f>
        <v>07040016</v>
      </c>
      <c r="B3153" t="s">
        <v>3336</v>
      </c>
      <c r="C3153" t="s">
        <v>7</v>
      </c>
      <c r="D3153" t="str">
        <f t="shared" si="102"/>
        <v>556904</v>
      </c>
      <c r="E3153" t="s">
        <v>2186</v>
      </c>
      <c r="F3153" t="s">
        <v>35</v>
      </c>
    </row>
    <row r="3154" spans="1:6" x14ac:dyDescent="0.25">
      <c r="A3154" t="str">
        <f>"22813063"</f>
        <v>22813063</v>
      </c>
      <c r="B3154" t="s">
        <v>3337</v>
      </c>
      <c r="C3154" t="s">
        <v>7</v>
      </c>
      <c r="D3154" t="str">
        <f t="shared" si="102"/>
        <v>556904</v>
      </c>
      <c r="E3154" t="s">
        <v>2186</v>
      </c>
      <c r="F3154" t="s">
        <v>11</v>
      </c>
    </row>
    <row r="3155" spans="1:6" x14ac:dyDescent="0.25">
      <c r="A3155" t="str">
        <f>"26602253"</f>
        <v>26602253</v>
      </c>
      <c r="B3155" t="s">
        <v>3338</v>
      </c>
      <c r="C3155" t="s">
        <v>7</v>
      </c>
      <c r="D3155" t="str">
        <f t="shared" si="102"/>
        <v>556904</v>
      </c>
      <c r="E3155" t="s">
        <v>2186</v>
      </c>
      <c r="F3155" t="s">
        <v>11</v>
      </c>
    </row>
    <row r="3156" spans="1:6" x14ac:dyDescent="0.25">
      <c r="A3156" t="str">
        <f>"07089953"</f>
        <v>07089953</v>
      </c>
      <c r="B3156" t="s">
        <v>3339</v>
      </c>
      <c r="C3156" t="s">
        <v>7</v>
      </c>
      <c r="D3156" t="str">
        <f t="shared" si="102"/>
        <v>556904</v>
      </c>
      <c r="E3156" t="s">
        <v>2186</v>
      </c>
      <c r="F3156" t="s">
        <v>35</v>
      </c>
    </row>
    <row r="3157" spans="1:6" x14ac:dyDescent="0.25">
      <c r="A3157" t="str">
        <f>"22376461"</f>
        <v>22376461</v>
      </c>
      <c r="B3157" t="s">
        <v>3340</v>
      </c>
      <c r="C3157" t="s">
        <v>7</v>
      </c>
      <c r="D3157" t="str">
        <f t="shared" si="102"/>
        <v>556904</v>
      </c>
      <c r="E3157" t="s">
        <v>2186</v>
      </c>
      <c r="F3157" t="s">
        <v>62</v>
      </c>
    </row>
    <row r="3158" spans="1:6" x14ac:dyDescent="0.25">
      <c r="A3158" t="str">
        <f>"22106553"</f>
        <v>22106553</v>
      </c>
      <c r="B3158" t="s">
        <v>3341</v>
      </c>
      <c r="C3158" t="s">
        <v>7</v>
      </c>
      <c r="D3158" t="str">
        <f t="shared" si="102"/>
        <v>556904</v>
      </c>
      <c r="E3158" t="s">
        <v>2186</v>
      </c>
      <c r="F3158" t="s">
        <v>62</v>
      </c>
    </row>
    <row r="3159" spans="1:6" x14ac:dyDescent="0.25">
      <c r="A3159" t="str">
        <f>"08925674"</f>
        <v>08925674</v>
      </c>
      <c r="B3159" t="s">
        <v>3342</v>
      </c>
      <c r="C3159" t="s">
        <v>7</v>
      </c>
      <c r="D3159" t="str">
        <f t="shared" si="102"/>
        <v>556904</v>
      </c>
      <c r="E3159" t="s">
        <v>2186</v>
      </c>
      <c r="F3159" t="s">
        <v>35</v>
      </c>
    </row>
    <row r="3160" spans="1:6" x14ac:dyDescent="0.25">
      <c r="A3160" t="str">
        <f>"07446560"</f>
        <v>07446560</v>
      </c>
      <c r="B3160" t="s">
        <v>3343</v>
      </c>
      <c r="C3160" t="s">
        <v>27</v>
      </c>
      <c r="D3160" t="str">
        <f t="shared" si="102"/>
        <v>556904</v>
      </c>
      <c r="E3160" t="s">
        <v>2186</v>
      </c>
      <c r="F3160" t="s">
        <v>254</v>
      </c>
    </row>
    <row r="3161" spans="1:6" x14ac:dyDescent="0.25">
      <c r="A3161" t="str">
        <f>"05693381"</f>
        <v>05693381</v>
      </c>
      <c r="B3161" t="s">
        <v>3344</v>
      </c>
      <c r="C3161" t="s">
        <v>7</v>
      </c>
      <c r="D3161" t="str">
        <f t="shared" si="102"/>
        <v>556904</v>
      </c>
      <c r="E3161" t="s">
        <v>2186</v>
      </c>
      <c r="F3161" t="s">
        <v>11</v>
      </c>
    </row>
    <row r="3162" spans="1:6" x14ac:dyDescent="0.25">
      <c r="A3162" t="str">
        <f>"44224737"</f>
        <v>44224737</v>
      </c>
      <c r="B3162" t="s">
        <v>3345</v>
      </c>
      <c r="C3162" t="s">
        <v>15</v>
      </c>
      <c r="D3162" t="str">
        <f t="shared" si="102"/>
        <v>556904</v>
      </c>
      <c r="E3162" t="s">
        <v>2186</v>
      </c>
      <c r="F3162" t="s">
        <v>9</v>
      </c>
    </row>
    <row r="3163" spans="1:6" x14ac:dyDescent="0.25">
      <c r="A3163" t="str">
        <f>"46749543"</f>
        <v>46749543</v>
      </c>
      <c r="B3163" t="s">
        <v>3346</v>
      </c>
      <c r="C3163" t="s">
        <v>7</v>
      </c>
      <c r="D3163" t="str">
        <f t="shared" si="102"/>
        <v>556904</v>
      </c>
      <c r="E3163" t="s">
        <v>2186</v>
      </c>
      <c r="F3163" t="s">
        <v>9</v>
      </c>
    </row>
    <row r="3164" spans="1:6" x14ac:dyDescent="0.25">
      <c r="A3164" t="str">
        <f>"22756752"</f>
        <v>22756752</v>
      </c>
      <c r="B3164" t="s">
        <v>3347</v>
      </c>
      <c r="C3164" t="s">
        <v>7</v>
      </c>
      <c r="D3164" t="str">
        <f t="shared" si="102"/>
        <v>556904</v>
      </c>
      <c r="E3164" t="s">
        <v>2186</v>
      </c>
      <c r="F3164" t="s">
        <v>11</v>
      </c>
    </row>
    <row r="3165" spans="1:6" x14ac:dyDescent="0.25">
      <c r="A3165" t="str">
        <f>"14433010"</f>
        <v>14433010</v>
      </c>
      <c r="B3165" t="s">
        <v>3348</v>
      </c>
      <c r="C3165" t="s">
        <v>7</v>
      </c>
      <c r="D3165" t="str">
        <f t="shared" si="102"/>
        <v>556904</v>
      </c>
      <c r="E3165" t="s">
        <v>2186</v>
      </c>
      <c r="F3165" t="s">
        <v>11</v>
      </c>
    </row>
    <row r="3166" spans="1:6" x14ac:dyDescent="0.25">
      <c r="A3166" t="str">
        <f>"28558138"</f>
        <v>28558138</v>
      </c>
      <c r="B3166" t="s">
        <v>3349</v>
      </c>
      <c r="C3166" t="s">
        <v>7</v>
      </c>
      <c r="D3166" t="str">
        <f t="shared" si="102"/>
        <v>556904</v>
      </c>
      <c r="E3166" t="s">
        <v>2186</v>
      </c>
      <c r="F3166" t="s">
        <v>424</v>
      </c>
    </row>
    <row r="3167" spans="1:6" x14ac:dyDescent="0.25">
      <c r="A3167" t="str">
        <f>"10998713"</f>
        <v>10998713</v>
      </c>
      <c r="B3167" t="s">
        <v>3350</v>
      </c>
      <c r="C3167" t="s">
        <v>7</v>
      </c>
      <c r="D3167" t="str">
        <f t="shared" si="102"/>
        <v>556904</v>
      </c>
      <c r="E3167" t="s">
        <v>2186</v>
      </c>
      <c r="F3167" t="s">
        <v>62</v>
      </c>
    </row>
    <row r="3168" spans="1:6" x14ac:dyDescent="0.25">
      <c r="A3168" t="str">
        <f>"07807198"</f>
        <v>07807198</v>
      </c>
      <c r="B3168" t="s">
        <v>3351</v>
      </c>
      <c r="C3168" t="s">
        <v>7</v>
      </c>
      <c r="D3168" t="str">
        <f t="shared" si="102"/>
        <v>556904</v>
      </c>
      <c r="E3168" t="s">
        <v>2186</v>
      </c>
      <c r="F3168" t="s">
        <v>11</v>
      </c>
    </row>
    <row r="3169" spans="1:6" x14ac:dyDescent="0.25">
      <c r="A3169" t="str">
        <f>"46746668"</f>
        <v>46746668</v>
      </c>
      <c r="B3169" t="s">
        <v>3352</v>
      </c>
      <c r="C3169" t="s">
        <v>7</v>
      </c>
      <c r="D3169" t="str">
        <f t="shared" si="102"/>
        <v>556904</v>
      </c>
      <c r="E3169" t="s">
        <v>2186</v>
      </c>
      <c r="F3169" t="s">
        <v>9</v>
      </c>
    </row>
    <row r="3170" spans="1:6" x14ac:dyDescent="0.25">
      <c r="A3170" t="str">
        <f>"66110505"</f>
        <v>66110505</v>
      </c>
      <c r="B3170" t="s">
        <v>3353</v>
      </c>
      <c r="C3170" t="s">
        <v>15</v>
      </c>
      <c r="D3170" t="str">
        <f t="shared" si="102"/>
        <v>556904</v>
      </c>
      <c r="E3170" t="s">
        <v>2186</v>
      </c>
      <c r="F3170" t="s">
        <v>29</v>
      </c>
    </row>
    <row r="3171" spans="1:6" x14ac:dyDescent="0.25">
      <c r="A3171" t="str">
        <f>"69291934"</f>
        <v>69291934</v>
      </c>
      <c r="B3171" t="s">
        <v>3354</v>
      </c>
      <c r="C3171" t="s">
        <v>7</v>
      </c>
      <c r="D3171" t="str">
        <f t="shared" si="102"/>
        <v>556904</v>
      </c>
      <c r="E3171" t="s">
        <v>2186</v>
      </c>
      <c r="F3171" t="s">
        <v>1096</v>
      </c>
    </row>
    <row r="3172" spans="1:6" x14ac:dyDescent="0.25">
      <c r="A3172" t="str">
        <f>"02465311"</f>
        <v>02465311</v>
      </c>
      <c r="B3172" t="s">
        <v>3355</v>
      </c>
      <c r="C3172" t="s">
        <v>7</v>
      </c>
      <c r="D3172" t="str">
        <f t="shared" si="102"/>
        <v>556904</v>
      </c>
      <c r="E3172" t="s">
        <v>2186</v>
      </c>
      <c r="F3172" t="s">
        <v>13</v>
      </c>
    </row>
    <row r="3173" spans="1:6" x14ac:dyDescent="0.25">
      <c r="A3173" t="str">
        <f>"46749845"</f>
        <v>46749845</v>
      </c>
      <c r="B3173" t="s">
        <v>3356</v>
      </c>
      <c r="C3173" t="s">
        <v>7</v>
      </c>
      <c r="D3173" t="str">
        <f t="shared" si="102"/>
        <v>556904</v>
      </c>
      <c r="E3173" t="s">
        <v>2186</v>
      </c>
      <c r="F3173" t="s">
        <v>11</v>
      </c>
    </row>
    <row r="3174" spans="1:6" x14ac:dyDescent="0.25">
      <c r="A3174" t="str">
        <f>"05202418"</f>
        <v>05202418</v>
      </c>
      <c r="B3174" t="s">
        <v>3357</v>
      </c>
      <c r="C3174" t="s">
        <v>7</v>
      </c>
      <c r="D3174" t="str">
        <f t="shared" si="102"/>
        <v>556904</v>
      </c>
      <c r="E3174" t="s">
        <v>2186</v>
      </c>
      <c r="F3174" t="s">
        <v>13</v>
      </c>
    </row>
    <row r="3175" spans="1:6" x14ac:dyDescent="0.25">
      <c r="A3175" t="str">
        <f>"26996090"</f>
        <v>26996090</v>
      </c>
      <c r="B3175" t="s">
        <v>3358</v>
      </c>
      <c r="C3175" t="s">
        <v>7</v>
      </c>
      <c r="D3175" t="str">
        <f t="shared" si="102"/>
        <v>556904</v>
      </c>
      <c r="E3175" t="s">
        <v>2186</v>
      </c>
      <c r="F3175" t="s">
        <v>11</v>
      </c>
    </row>
    <row r="3176" spans="1:6" x14ac:dyDescent="0.25">
      <c r="A3176" t="str">
        <f>"27291049"</f>
        <v>27291049</v>
      </c>
      <c r="B3176" t="s">
        <v>3359</v>
      </c>
      <c r="C3176" t="s">
        <v>27</v>
      </c>
      <c r="D3176" t="str">
        <f t="shared" ref="D3176:D3239" si="103">"556904"</f>
        <v>556904</v>
      </c>
      <c r="E3176" t="s">
        <v>2186</v>
      </c>
      <c r="F3176" t="s">
        <v>2331</v>
      </c>
    </row>
    <row r="3177" spans="1:6" x14ac:dyDescent="0.25">
      <c r="A3177" t="str">
        <f>"08327076"</f>
        <v>08327076</v>
      </c>
      <c r="B3177" t="s">
        <v>3360</v>
      </c>
      <c r="C3177" t="s">
        <v>7</v>
      </c>
      <c r="D3177" t="str">
        <f t="shared" si="103"/>
        <v>556904</v>
      </c>
      <c r="E3177" t="s">
        <v>2186</v>
      </c>
      <c r="F3177" t="s">
        <v>11</v>
      </c>
    </row>
    <row r="3178" spans="1:6" x14ac:dyDescent="0.25">
      <c r="A3178" t="str">
        <f>"07759169"</f>
        <v>07759169</v>
      </c>
      <c r="B3178" t="s">
        <v>3361</v>
      </c>
      <c r="C3178" t="s">
        <v>7</v>
      </c>
      <c r="D3178" t="str">
        <f t="shared" si="103"/>
        <v>556904</v>
      </c>
      <c r="E3178" t="s">
        <v>2186</v>
      </c>
      <c r="F3178" t="s">
        <v>29</v>
      </c>
    </row>
    <row r="3179" spans="1:6" x14ac:dyDescent="0.25">
      <c r="A3179" t="str">
        <f>"05217784"</f>
        <v>05217784</v>
      </c>
      <c r="B3179" t="s">
        <v>3362</v>
      </c>
      <c r="C3179" t="s">
        <v>7</v>
      </c>
      <c r="D3179" t="str">
        <f t="shared" si="103"/>
        <v>556904</v>
      </c>
      <c r="E3179" t="s">
        <v>2186</v>
      </c>
      <c r="F3179" t="s">
        <v>11</v>
      </c>
    </row>
    <row r="3180" spans="1:6" x14ac:dyDescent="0.25">
      <c r="A3180" t="str">
        <f>"00537942"</f>
        <v>00537942</v>
      </c>
      <c r="B3180" t="s">
        <v>3363</v>
      </c>
      <c r="C3180" t="s">
        <v>7</v>
      </c>
      <c r="D3180" t="str">
        <f t="shared" si="103"/>
        <v>556904</v>
      </c>
      <c r="E3180" t="s">
        <v>2186</v>
      </c>
      <c r="F3180" t="s">
        <v>11</v>
      </c>
    </row>
    <row r="3181" spans="1:6" x14ac:dyDescent="0.25">
      <c r="A3181" t="str">
        <f>"22758917"</f>
        <v>22758917</v>
      </c>
      <c r="B3181" t="s">
        <v>3364</v>
      </c>
      <c r="C3181" t="s">
        <v>7</v>
      </c>
      <c r="D3181" t="str">
        <f t="shared" si="103"/>
        <v>556904</v>
      </c>
      <c r="E3181" t="s">
        <v>2186</v>
      </c>
      <c r="F3181" t="s">
        <v>11</v>
      </c>
    </row>
    <row r="3182" spans="1:6" x14ac:dyDescent="0.25">
      <c r="A3182" t="str">
        <f>"25916751"</f>
        <v>25916751</v>
      </c>
      <c r="B3182" t="s">
        <v>3365</v>
      </c>
      <c r="C3182" t="s">
        <v>78</v>
      </c>
      <c r="D3182" t="str">
        <f t="shared" si="103"/>
        <v>556904</v>
      </c>
      <c r="E3182" t="s">
        <v>2186</v>
      </c>
      <c r="F3182" t="s">
        <v>11</v>
      </c>
    </row>
    <row r="3183" spans="1:6" x14ac:dyDescent="0.25">
      <c r="A3183" t="str">
        <f>"18384030"</f>
        <v>18384030</v>
      </c>
      <c r="B3183" t="s">
        <v>3366</v>
      </c>
      <c r="C3183" t="s">
        <v>15</v>
      </c>
      <c r="D3183" t="str">
        <f t="shared" si="103"/>
        <v>556904</v>
      </c>
      <c r="E3183" t="s">
        <v>2186</v>
      </c>
      <c r="F3183" t="s">
        <v>11</v>
      </c>
    </row>
    <row r="3184" spans="1:6" x14ac:dyDescent="0.25">
      <c r="A3184" t="str">
        <f>"44224125"</f>
        <v>44224125</v>
      </c>
      <c r="B3184" t="s">
        <v>3367</v>
      </c>
      <c r="C3184" t="s">
        <v>7</v>
      </c>
      <c r="D3184" t="str">
        <f t="shared" si="103"/>
        <v>556904</v>
      </c>
      <c r="E3184" t="s">
        <v>2186</v>
      </c>
      <c r="F3184" t="s">
        <v>604</v>
      </c>
    </row>
    <row r="3185" spans="1:6" x14ac:dyDescent="0.25">
      <c r="A3185" t="str">
        <f>"28556461"</f>
        <v>28556461</v>
      </c>
      <c r="B3185" t="s">
        <v>3368</v>
      </c>
      <c r="C3185" t="s">
        <v>7</v>
      </c>
      <c r="D3185" t="str">
        <f t="shared" si="103"/>
        <v>556904</v>
      </c>
      <c r="E3185" t="s">
        <v>2186</v>
      </c>
      <c r="F3185" t="s">
        <v>424</v>
      </c>
    </row>
    <row r="3186" spans="1:6" x14ac:dyDescent="0.25">
      <c r="A3186" t="str">
        <f>"46748024"</f>
        <v>46748024</v>
      </c>
      <c r="B3186" t="s">
        <v>3369</v>
      </c>
      <c r="C3186" t="s">
        <v>7</v>
      </c>
      <c r="D3186" t="str">
        <f t="shared" si="103"/>
        <v>556904</v>
      </c>
      <c r="E3186" t="s">
        <v>2186</v>
      </c>
      <c r="F3186" t="s">
        <v>379</v>
      </c>
    </row>
    <row r="3187" spans="1:6" x14ac:dyDescent="0.25">
      <c r="A3187" t="str">
        <f>"19207191"</f>
        <v>19207191</v>
      </c>
      <c r="B3187" t="s">
        <v>3370</v>
      </c>
      <c r="C3187" t="s">
        <v>7</v>
      </c>
      <c r="D3187" t="str">
        <f t="shared" si="103"/>
        <v>556904</v>
      </c>
      <c r="E3187" t="s">
        <v>2186</v>
      </c>
      <c r="F3187" t="s">
        <v>3371</v>
      </c>
    </row>
    <row r="3188" spans="1:6" x14ac:dyDescent="0.25">
      <c r="A3188" t="str">
        <f>"26429985"</f>
        <v>26429985</v>
      </c>
      <c r="B3188" t="s">
        <v>3372</v>
      </c>
      <c r="C3188" t="s">
        <v>78</v>
      </c>
      <c r="D3188" t="str">
        <f t="shared" si="103"/>
        <v>556904</v>
      </c>
      <c r="E3188" t="s">
        <v>2186</v>
      </c>
      <c r="F3188" t="s">
        <v>381</v>
      </c>
    </row>
    <row r="3189" spans="1:6" x14ac:dyDescent="0.25">
      <c r="A3189" t="str">
        <f>"70697922"</f>
        <v>70697922</v>
      </c>
      <c r="B3189" t="s">
        <v>3373</v>
      </c>
      <c r="C3189" t="s">
        <v>7</v>
      </c>
      <c r="D3189" t="str">
        <f t="shared" si="103"/>
        <v>556904</v>
      </c>
      <c r="E3189" t="s">
        <v>2186</v>
      </c>
      <c r="F3189" t="s">
        <v>11</v>
      </c>
    </row>
    <row r="3190" spans="1:6" x14ac:dyDescent="0.25">
      <c r="A3190" t="str">
        <f>"22834362"</f>
        <v>22834362</v>
      </c>
      <c r="B3190" t="s">
        <v>3374</v>
      </c>
      <c r="C3190" t="s">
        <v>7</v>
      </c>
      <c r="D3190" t="str">
        <f t="shared" si="103"/>
        <v>556904</v>
      </c>
      <c r="E3190" t="s">
        <v>2186</v>
      </c>
      <c r="F3190" t="s">
        <v>62</v>
      </c>
    </row>
    <row r="3191" spans="1:6" x14ac:dyDescent="0.25">
      <c r="A3191" t="str">
        <f>"27043070"</f>
        <v>27043070</v>
      </c>
      <c r="B3191" t="s">
        <v>3375</v>
      </c>
      <c r="C3191" t="s">
        <v>7</v>
      </c>
      <c r="D3191" t="str">
        <f t="shared" si="103"/>
        <v>556904</v>
      </c>
      <c r="E3191" t="s">
        <v>2186</v>
      </c>
      <c r="F3191" t="s">
        <v>11</v>
      </c>
    </row>
    <row r="3192" spans="1:6" x14ac:dyDescent="0.25">
      <c r="A3192" t="str">
        <f>"05675944"</f>
        <v>05675944</v>
      </c>
      <c r="B3192" t="s">
        <v>3376</v>
      </c>
      <c r="C3192" t="s">
        <v>7</v>
      </c>
      <c r="D3192" t="str">
        <f t="shared" si="103"/>
        <v>556904</v>
      </c>
      <c r="E3192" t="s">
        <v>2186</v>
      </c>
      <c r="F3192" t="s">
        <v>11</v>
      </c>
    </row>
    <row r="3193" spans="1:6" x14ac:dyDescent="0.25">
      <c r="A3193" t="str">
        <f>"10965998"</f>
        <v>10965998</v>
      </c>
      <c r="B3193" t="s">
        <v>3377</v>
      </c>
      <c r="C3193" t="s">
        <v>7</v>
      </c>
      <c r="D3193" t="str">
        <f t="shared" si="103"/>
        <v>556904</v>
      </c>
      <c r="E3193" t="s">
        <v>2186</v>
      </c>
      <c r="F3193" t="s">
        <v>13</v>
      </c>
    </row>
    <row r="3194" spans="1:6" x14ac:dyDescent="0.25">
      <c r="A3194" t="str">
        <f>"22816763"</f>
        <v>22816763</v>
      </c>
      <c r="B3194" t="s">
        <v>3378</v>
      </c>
      <c r="C3194" t="s">
        <v>7</v>
      </c>
      <c r="D3194" t="str">
        <f t="shared" si="103"/>
        <v>556904</v>
      </c>
      <c r="E3194" t="s">
        <v>2186</v>
      </c>
      <c r="F3194" t="s">
        <v>11</v>
      </c>
    </row>
    <row r="3195" spans="1:6" x14ac:dyDescent="0.25">
      <c r="A3195" t="str">
        <f>"19490950"</f>
        <v>19490950</v>
      </c>
      <c r="B3195" t="s">
        <v>3379</v>
      </c>
      <c r="C3195" t="s">
        <v>7</v>
      </c>
      <c r="D3195" t="str">
        <f t="shared" si="103"/>
        <v>556904</v>
      </c>
      <c r="E3195" t="s">
        <v>2186</v>
      </c>
      <c r="F3195" t="s">
        <v>13</v>
      </c>
    </row>
    <row r="3196" spans="1:6" x14ac:dyDescent="0.25">
      <c r="A3196" t="str">
        <f>"08898987"</f>
        <v>08898987</v>
      </c>
      <c r="B3196" t="s">
        <v>3380</v>
      </c>
      <c r="C3196" t="s">
        <v>7</v>
      </c>
      <c r="D3196" t="str">
        <f t="shared" si="103"/>
        <v>556904</v>
      </c>
      <c r="E3196" t="s">
        <v>2186</v>
      </c>
      <c r="F3196" t="s">
        <v>29</v>
      </c>
    </row>
    <row r="3197" spans="1:6" x14ac:dyDescent="0.25">
      <c r="A3197" t="str">
        <f>"22762671"</f>
        <v>22762671</v>
      </c>
      <c r="B3197" t="s">
        <v>3381</v>
      </c>
      <c r="C3197" t="s">
        <v>7</v>
      </c>
      <c r="D3197" t="str">
        <f t="shared" si="103"/>
        <v>556904</v>
      </c>
      <c r="E3197" t="s">
        <v>2186</v>
      </c>
      <c r="F3197" t="s">
        <v>11</v>
      </c>
    </row>
    <row r="3198" spans="1:6" x14ac:dyDescent="0.25">
      <c r="A3198" t="str">
        <f>"22720065"</f>
        <v>22720065</v>
      </c>
      <c r="B3198" t="s">
        <v>3382</v>
      </c>
      <c r="C3198" t="s">
        <v>7</v>
      </c>
      <c r="D3198" t="str">
        <f t="shared" si="103"/>
        <v>556904</v>
      </c>
      <c r="E3198" t="s">
        <v>2186</v>
      </c>
      <c r="F3198" t="s">
        <v>13</v>
      </c>
    </row>
    <row r="3199" spans="1:6" x14ac:dyDescent="0.25">
      <c r="A3199" t="str">
        <f>"27043304"</f>
        <v>27043304</v>
      </c>
      <c r="B3199" t="s">
        <v>3383</v>
      </c>
      <c r="C3199" t="s">
        <v>7</v>
      </c>
      <c r="D3199" t="str">
        <f t="shared" si="103"/>
        <v>556904</v>
      </c>
      <c r="E3199" t="s">
        <v>2186</v>
      </c>
      <c r="F3199" t="s">
        <v>424</v>
      </c>
    </row>
    <row r="3200" spans="1:6" x14ac:dyDescent="0.25">
      <c r="A3200" t="str">
        <f>"02988682"</f>
        <v>02988682</v>
      </c>
      <c r="B3200" t="s">
        <v>3384</v>
      </c>
      <c r="C3200" t="s">
        <v>7</v>
      </c>
      <c r="D3200" t="str">
        <f t="shared" si="103"/>
        <v>556904</v>
      </c>
      <c r="E3200" t="s">
        <v>2186</v>
      </c>
      <c r="F3200" t="s">
        <v>11</v>
      </c>
    </row>
    <row r="3201" spans="1:6" x14ac:dyDescent="0.25">
      <c r="A3201" t="str">
        <f>"22837582"</f>
        <v>22837582</v>
      </c>
      <c r="B3201" t="s">
        <v>3385</v>
      </c>
      <c r="C3201" t="s">
        <v>7</v>
      </c>
      <c r="D3201" t="str">
        <f t="shared" si="103"/>
        <v>556904</v>
      </c>
      <c r="E3201" t="s">
        <v>2186</v>
      </c>
      <c r="F3201" t="s">
        <v>11</v>
      </c>
    </row>
    <row r="3202" spans="1:6" x14ac:dyDescent="0.25">
      <c r="A3202" t="str">
        <f>"26597870"</f>
        <v>26597870</v>
      </c>
      <c r="B3202" t="s">
        <v>3386</v>
      </c>
      <c r="C3202" t="s">
        <v>7</v>
      </c>
      <c r="D3202" t="str">
        <f t="shared" si="103"/>
        <v>556904</v>
      </c>
      <c r="E3202" t="s">
        <v>2186</v>
      </c>
      <c r="F3202" t="s">
        <v>11</v>
      </c>
    </row>
    <row r="3203" spans="1:6" x14ac:dyDescent="0.25">
      <c r="A3203" t="str">
        <f>"26536633"</f>
        <v>26536633</v>
      </c>
      <c r="B3203" t="s">
        <v>3387</v>
      </c>
      <c r="C3203" t="s">
        <v>7</v>
      </c>
      <c r="D3203" t="str">
        <f t="shared" si="103"/>
        <v>556904</v>
      </c>
      <c r="E3203" t="s">
        <v>2186</v>
      </c>
      <c r="F3203" t="s">
        <v>139</v>
      </c>
    </row>
    <row r="3204" spans="1:6" x14ac:dyDescent="0.25">
      <c r="A3204" t="str">
        <f>"27008088"</f>
        <v>27008088</v>
      </c>
      <c r="B3204" t="s">
        <v>3388</v>
      </c>
      <c r="C3204" t="s">
        <v>7</v>
      </c>
      <c r="D3204" t="str">
        <f t="shared" si="103"/>
        <v>556904</v>
      </c>
      <c r="E3204" t="s">
        <v>2186</v>
      </c>
      <c r="F3204" t="s">
        <v>11</v>
      </c>
    </row>
    <row r="3205" spans="1:6" x14ac:dyDescent="0.25">
      <c r="A3205" t="str">
        <f>"22735909"</f>
        <v>22735909</v>
      </c>
      <c r="B3205" t="s">
        <v>3389</v>
      </c>
      <c r="C3205" t="s">
        <v>7</v>
      </c>
      <c r="D3205" t="str">
        <f t="shared" si="103"/>
        <v>556904</v>
      </c>
      <c r="E3205" t="s">
        <v>2186</v>
      </c>
      <c r="F3205" t="s">
        <v>139</v>
      </c>
    </row>
    <row r="3206" spans="1:6" x14ac:dyDescent="0.25">
      <c r="A3206" t="str">
        <f>"64040721"</f>
        <v>64040721</v>
      </c>
      <c r="B3206" t="s">
        <v>3390</v>
      </c>
      <c r="C3206" t="s">
        <v>7</v>
      </c>
      <c r="D3206" t="str">
        <f t="shared" si="103"/>
        <v>556904</v>
      </c>
      <c r="E3206" t="s">
        <v>2186</v>
      </c>
      <c r="F3206" t="s">
        <v>9</v>
      </c>
    </row>
    <row r="3207" spans="1:6" x14ac:dyDescent="0.25">
      <c r="A3207" t="str">
        <f>"06328105"</f>
        <v>06328105</v>
      </c>
      <c r="B3207" t="s">
        <v>3391</v>
      </c>
      <c r="C3207" t="s">
        <v>7</v>
      </c>
      <c r="D3207" t="str">
        <f t="shared" si="103"/>
        <v>556904</v>
      </c>
      <c r="E3207" t="s">
        <v>2186</v>
      </c>
      <c r="F3207" t="s">
        <v>139</v>
      </c>
    </row>
    <row r="3208" spans="1:6" x14ac:dyDescent="0.25">
      <c r="A3208" t="str">
        <f>"05643210"</f>
        <v>05643210</v>
      </c>
      <c r="B3208" t="s">
        <v>3392</v>
      </c>
      <c r="C3208" t="s">
        <v>7</v>
      </c>
      <c r="D3208" t="str">
        <f t="shared" si="103"/>
        <v>556904</v>
      </c>
      <c r="E3208" t="s">
        <v>2186</v>
      </c>
      <c r="F3208" t="s">
        <v>11</v>
      </c>
    </row>
    <row r="3209" spans="1:6" x14ac:dyDescent="0.25">
      <c r="A3209" t="str">
        <f>"19460007"</f>
        <v>19460007</v>
      </c>
      <c r="B3209" t="s">
        <v>3393</v>
      </c>
      <c r="C3209" t="s">
        <v>7</v>
      </c>
      <c r="D3209" t="str">
        <f t="shared" si="103"/>
        <v>556904</v>
      </c>
      <c r="E3209" t="s">
        <v>2186</v>
      </c>
      <c r="F3209" t="s">
        <v>11</v>
      </c>
    </row>
    <row r="3210" spans="1:6" x14ac:dyDescent="0.25">
      <c r="A3210" t="str">
        <f>"22342702"</f>
        <v>22342702</v>
      </c>
      <c r="B3210" t="s">
        <v>3394</v>
      </c>
      <c r="C3210" t="s">
        <v>7</v>
      </c>
      <c r="D3210" t="str">
        <f t="shared" si="103"/>
        <v>556904</v>
      </c>
      <c r="E3210" t="s">
        <v>2186</v>
      </c>
      <c r="F3210" t="s">
        <v>18</v>
      </c>
    </row>
    <row r="3211" spans="1:6" x14ac:dyDescent="0.25">
      <c r="A3211" t="str">
        <f>"01567730"</f>
        <v>01567730</v>
      </c>
      <c r="B3211" t="s">
        <v>3395</v>
      </c>
      <c r="C3211" t="s">
        <v>7</v>
      </c>
      <c r="D3211" t="str">
        <f t="shared" si="103"/>
        <v>556904</v>
      </c>
      <c r="E3211" t="s">
        <v>2186</v>
      </c>
      <c r="F3211" t="s">
        <v>11</v>
      </c>
    </row>
    <row r="3212" spans="1:6" x14ac:dyDescent="0.25">
      <c r="A3212" t="str">
        <f>"22897160"</f>
        <v>22897160</v>
      </c>
      <c r="B3212" t="s">
        <v>3396</v>
      </c>
      <c r="C3212" t="s">
        <v>7</v>
      </c>
      <c r="D3212" t="str">
        <f t="shared" si="103"/>
        <v>556904</v>
      </c>
      <c r="E3212" t="s">
        <v>2186</v>
      </c>
      <c r="F3212" t="s">
        <v>11</v>
      </c>
    </row>
    <row r="3213" spans="1:6" x14ac:dyDescent="0.25">
      <c r="A3213" t="str">
        <f>"18381545"</f>
        <v>18381545</v>
      </c>
      <c r="B3213" t="s">
        <v>3397</v>
      </c>
      <c r="C3213" t="s">
        <v>7</v>
      </c>
      <c r="D3213" t="str">
        <f t="shared" si="103"/>
        <v>556904</v>
      </c>
      <c r="E3213" t="s">
        <v>2186</v>
      </c>
      <c r="F3213" t="s">
        <v>11</v>
      </c>
    </row>
    <row r="3214" spans="1:6" x14ac:dyDescent="0.25">
      <c r="A3214" t="str">
        <f>"04423348"</f>
        <v>04423348</v>
      </c>
      <c r="B3214" t="s">
        <v>3398</v>
      </c>
      <c r="C3214" t="s">
        <v>7</v>
      </c>
      <c r="D3214" t="str">
        <f t="shared" si="103"/>
        <v>556904</v>
      </c>
      <c r="E3214" t="s">
        <v>2186</v>
      </c>
      <c r="F3214" t="s">
        <v>18</v>
      </c>
    </row>
    <row r="3215" spans="1:6" x14ac:dyDescent="0.25">
      <c r="A3215" t="str">
        <f>"03109101"</f>
        <v>03109101</v>
      </c>
      <c r="B3215" t="s">
        <v>3399</v>
      </c>
      <c r="C3215" t="s">
        <v>7</v>
      </c>
      <c r="D3215" t="str">
        <f t="shared" si="103"/>
        <v>556904</v>
      </c>
      <c r="E3215" t="s">
        <v>2186</v>
      </c>
      <c r="F3215" t="s">
        <v>62</v>
      </c>
    </row>
    <row r="3216" spans="1:6" x14ac:dyDescent="0.25">
      <c r="A3216" t="str">
        <f>"27052869"</f>
        <v>27052869</v>
      </c>
      <c r="B3216" t="s">
        <v>3400</v>
      </c>
      <c r="C3216" t="s">
        <v>7</v>
      </c>
      <c r="D3216" t="str">
        <f t="shared" si="103"/>
        <v>556904</v>
      </c>
      <c r="E3216" t="s">
        <v>2186</v>
      </c>
      <c r="F3216" t="s">
        <v>11</v>
      </c>
    </row>
    <row r="3217" spans="1:6" x14ac:dyDescent="0.25">
      <c r="A3217" t="str">
        <f>"03899004"</f>
        <v>03899004</v>
      </c>
      <c r="B3217" t="s">
        <v>3401</v>
      </c>
      <c r="C3217" t="s">
        <v>7</v>
      </c>
      <c r="D3217" t="str">
        <f t="shared" si="103"/>
        <v>556904</v>
      </c>
      <c r="E3217" t="s">
        <v>2186</v>
      </c>
      <c r="F3217" t="s">
        <v>11</v>
      </c>
    </row>
    <row r="3218" spans="1:6" x14ac:dyDescent="0.25">
      <c r="A3218" t="str">
        <f>"43225136"</f>
        <v>43225136</v>
      </c>
      <c r="B3218" t="s">
        <v>3402</v>
      </c>
      <c r="C3218" t="s">
        <v>7</v>
      </c>
      <c r="D3218" t="str">
        <f t="shared" si="103"/>
        <v>556904</v>
      </c>
      <c r="E3218" t="s">
        <v>2186</v>
      </c>
      <c r="F3218" t="s">
        <v>11</v>
      </c>
    </row>
    <row r="3219" spans="1:6" x14ac:dyDescent="0.25">
      <c r="A3219" t="str">
        <f>"05483174"</f>
        <v>05483174</v>
      </c>
      <c r="B3219" t="s">
        <v>3403</v>
      </c>
      <c r="C3219" t="s">
        <v>7</v>
      </c>
      <c r="D3219" t="str">
        <f t="shared" si="103"/>
        <v>556904</v>
      </c>
      <c r="E3219" t="s">
        <v>2186</v>
      </c>
      <c r="F3219" t="s">
        <v>11</v>
      </c>
    </row>
    <row r="3220" spans="1:6" x14ac:dyDescent="0.25">
      <c r="A3220" t="str">
        <f>"02028603"</f>
        <v>02028603</v>
      </c>
      <c r="B3220" t="s">
        <v>3404</v>
      </c>
      <c r="C3220" t="s">
        <v>7</v>
      </c>
      <c r="D3220" t="str">
        <f t="shared" si="103"/>
        <v>556904</v>
      </c>
      <c r="E3220" t="s">
        <v>2186</v>
      </c>
      <c r="F3220" t="s">
        <v>865</v>
      </c>
    </row>
    <row r="3221" spans="1:6" x14ac:dyDescent="0.25">
      <c r="A3221" t="str">
        <f>"05482577"</f>
        <v>05482577</v>
      </c>
      <c r="B3221" t="s">
        <v>3405</v>
      </c>
      <c r="C3221" t="s">
        <v>7</v>
      </c>
      <c r="D3221" t="str">
        <f t="shared" si="103"/>
        <v>556904</v>
      </c>
      <c r="E3221" t="s">
        <v>2186</v>
      </c>
      <c r="F3221" t="s">
        <v>11</v>
      </c>
    </row>
    <row r="3222" spans="1:6" x14ac:dyDescent="0.25">
      <c r="A3222" t="str">
        <f>"00380024"</f>
        <v>00380024</v>
      </c>
      <c r="B3222" t="s">
        <v>3406</v>
      </c>
      <c r="C3222" t="s">
        <v>7</v>
      </c>
      <c r="D3222" t="str">
        <f t="shared" si="103"/>
        <v>556904</v>
      </c>
      <c r="E3222" t="s">
        <v>2186</v>
      </c>
      <c r="F3222" t="s">
        <v>11</v>
      </c>
    </row>
    <row r="3223" spans="1:6" x14ac:dyDescent="0.25">
      <c r="A3223" t="str">
        <f>"26634902"</f>
        <v>26634902</v>
      </c>
      <c r="B3223" t="s">
        <v>3407</v>
      </c>
      <c r="C3223" t="s">
        <v>7</v>
      </c>
      <c r="D3223" t="str">
        <f t="shared" si="103"/>
        <v>556904</v>
      </c>
      <c r="E3223" t="s">
        <v>2186</v>
      </c>
      <c r="F3223" t="s">
        <v>11</v>
      </c>
    </row>
    <row r="3224" spans="1:6" x14ac:dyDescent="0.25">
      <c r="A3224" t="str">
        <f>"05770220"</f>
        <v>05770220</v>
      </c>
      <c r="B3224" t="s">
        <v>3408</v>
      </c>
      <c r="C3224" t="s">
        <v>7</v>
      </c>
      <c r="D3224" t="str">
        <f t="shared" si="103"/>
        <v>556904</v>
      </c>
      <c r="E3224" t="s">
        <v>2186</v>
      </c>
      <c r="F3224" t="s">
        <v>11</v>
      </c>
    </row>
    <row r="3225" spans="1:6" x14ac:dyDescent="0.25">
      <c r="A3225" t="str">
        <f>"49111639"</f>
        <v>49111639</v>
      </c>
      <c r="B3225" t="s">
        <v>3409</v>
      </c>
      <c r="C3225" t="s">
        <v>7</v>
      </c>
      <c r="D3225" t="str">
        <f t="shared" si="103"/>
        <v>556904</v>
      </c>
      <c r="E3225" t="s">
        <v>2186</v>
      </c>
      <c r="F3225" t="s">
        <v>13</v>
      </c>
    </row>
    <row r="3226" spans="1:6" x14ac:dyDescent="0.25">
      <c r="A3226" t="str">
        <f>"05293642"</f>
        <v>05293642</v>
      </c>
      <c r="B3226" t="s">
        <v>3410</v>
      </c>
      <c r="C3226" t="s">
        <v>7</v>
      </c>
      <c r="D3226" t="str">
        <f t="shared" si="103"/>
        <v>556904</v>
      </c>
      <c r="E3226" t="s">
        <v>2186</v>
      </c>
      <c r="F3226" t="s">
        <v>11</v>
      </c>
    </row>
    <row r="3227" spans="1:6" x14ac:dyDescent="0.25">
      <c r="A3227" t="str">
        <f>"21654174"</f>
        <v>21654174</v>
      </c>
      <c r="B3227" t="s">
        <v>3411</v>
      </c>
      <c r="C3227" t="s">
        <v>7</v>
      </c>
      <c r="D3227" t="str">
        <f t="shared" si="103"/>
        <v>556904</v>
      </c>
      <c r="E3227" t="s">
        <v>2186</v>
      </c>
      <c r="F3227" t="s">
        <v>11</v>
      </c>
    </row>
    <row r="3228" spans="1:6" x14ac:dyDescent="0.25">
      <c r="A3228" t="str">
        <f>"22849840"</f>
        <v>22849840</v>
      </c>
      <c r="B3228" t="s">
        <v>3412</v>
      </c>
      <c r="C3228" t="s">
        <v>7</v>
      </c>
      <c r="D3228" t="str">
        <f t="shared" si="103"/>
        <v>556904</v>
      </c>
      <c r="E3228" t="s">
        <v>2186</v>
      </c>
      <c r="F3228" t="s">
        <v>11</v>
      </c>
    </row>
    <row r="3229" spans="1:6" x14ac:dyDescent="0.25">
      <c r="A3229" t="str">
        <f>"27024628"</f>
        <v>27024628</v>
      </c>
      <c r="B3229" t="s">
        <v>3413</v>
      </c>
      <c r="C3229" t="s">
        <v>7</v>
      </c>
      <c r="D3229" t="str">
        <f t="shared" si="103"/>
        <v>556904</v>
      </c>
      <c r="E3229" t="s">
        <v>2186</v>
      </c>
      <c r="F3229" t="s">
        <v>11</v>
      </c>
    </row>
    <row r="3230" spans="1:6" x14ac:dyDescent="0.25">
      <c r="A3230" t="str">
        <f>"46746498"</f>
        <v>46746498</v>
      </c>
      <c r="B3230" t="s">
        <v>3414</v>
      </c>
      <c r="C3230" t="s">
        <v>7</v>
      </c>
      <c r="D3230" t="str">
        <f t="shared" si="103"/>
        <v>556904</v>
      </c>
      <c r="E3230" t="s">
        <v>2186</v>
      </c>
      <c r="F3230" t="s">
        <v>11</v>
      </c>
    </row>
    <row r="3231" spans="1:6" x14ac:dyDescent="0.25">
      <c r="A3231" t="str">
        <f>"22820108"</f>
        <v>22820108</v>
      </c>
      <c r="B3231" t="s">
        <v>3415</v>
      </c>
      <c r="C3231" t="s">
        <v>7</v>
      </c>
      <c r="D3231" t="str">
        <f t="shared" si="103"/>
        <v>556904</v>
      </c>
      <c r="E3231" t="s">
        <v>2186</v>
      </c>
      <c r="F3231" t="s">
        <v>11</v>
      </c>
    </row>
    <row r="3232" spans="1:6" x14ac:dyDescent="0.25">
      <c r="A3232" t="str">
        <f>"07432470"</f>
        <v>07432470</v>
      </c>
      <c r="B3232" t="s">
        <v>3416</v>
      </c>
      <c r="C3232" t="s">
        <v>7</v>
      </c>
      <c r="D3232" t="str">
        <f t="shared" si="103"/>
        <v>556904</v>
      </c>
      <c r="E3232" t="s">
        <v>2186</v>
      </c>
      <c r="F3232" t="s">
        <v>18</v>
      </c>
    </row>
    <row r="3233" spans="1:6" x14ac:dyDescent="0.25">
      <c r="A3233" t="str">
        <f>"46747303"</f>
        <v>46747303</v>
      </c>
      <c r="B3233" t="s">
        <v>3417</v>
      </c>
      <c r="C3233" t="s">
        <v>7</v>
      </c>
      <c r="D3233" t="str">
        <f t="shared" si="103"/>
        <v>556904</v>
      </c>
      <c r="E3233" t="s">
        <v>2186</v>
      </c>
      <c r="F3233" t="s">
        <v>9</v>
      </c>
    </row>
    <row r="3234" spans="1:6" x14ac:dyDescent="0.25">
      <c r="A3234" t="str">
        <f>"07882955"</f>
        <v>07882955</v>
      </c>
      <c r="B3234" t="s">
        <v>3418</v>
      </c>
      <c r="C3234" t="s">
        <v>7</v>
      </c>
      <c r="D3234" t="str">
        <f t="shared" si="103"/>
        <v>556904</v>
      </c>
      <c r="E3234" t="s">
        <v>2186</v>
      </c>
      <c r="F3234" t="s">
        <v>13</v>
      </c>
    </row>
    <row r="3235" spans="1:6" x14ac:dyDescent="0.25">
      <c r="A3235" t="str">
        <f>"09402772"</f>
        <v>09402772</v>
      </c>
      <c r="B3235" t="s">
        <v>3419</v>
      </c>
      <c r="C3235" t="s">
        <v>7</v>
      </c>
      <c r="D3235" t="str">
        <f t="shared" si="103"/>
        <v>556904</v>
      </c>
      <c r="E3235" t="s">
        <v>2186</v>
      </c>
      <c r="F3235" t="s">
        <v>13</v>
      </c>
    </row>
    <row r="3236" spans="1:6" x14ac:dyDescent="0.25">
      <c r="A3236" t="str">
        <f>"05670373"</f>
        <v>05670373</v>
      </c>
      <c r="B3236" t="s">
        <v>3420</v>
      </c>
      <c r="C3236" t="s">
        <v>7</v>
      </c>
      <c r="D3236" t="str">
        <f t="shared" si="103"/>
        <v>556904</v>
      </c>
      <c r="E3236" t="s">
        <v>2186</v>
      </c>
      <c r="F3236" t="s">
        <v>13</v>
      </c>
    </row>
    <row r="3237" spans="1:6" x14ac:dyDescent="0.25">
      <c r="A3237" t="str">
        <f>"05197961"</f>
        <v>05197961</v>
      </c>
      <c r="B3237" t="s">
        <v>3421</v>
      </c>
      <c r="C3237" t="s">
        <v>7</v>
      </c>
      <c r="D3237" t="str">
        <f t="shared" si="103"/>
        <v>556904</v>
      </c>
      <c r="E3237" t="s">
        <v>2186</v>
      </c>
      <c r="F3237" t="s">
        <v>13</v>
      </c>
    </row>
    <row r="3238" spans="1:6" x14ac:dyDescent="0.25">
      <c r="A3238" t="str">
        <f>"26536617"</f>
        <v>26536617</v>
      </c>
      <c r="B3238" t="s">
        <v>3422</v>
      </c>
      <c r="C3238" t="s">
        <v>7</v>
      </c>
      <c r="D3238" t="str">
        <f t="shared" si="103"/>
        <v>556904</v>
      </c>
      <c r="E3238" t="s">
        <v>2186</v>
      </c>
      <c r="F3238" t="s">
        <v>13</v>
      </c>
    </row>
    <row r="3239" spans="1:6" x14ac:dyDescent="0.25">
      <c r="A3239" t="str">
        <f>"05066026"</f>
        <v>05066026</v>
      </c>
      <c r="B3239" t="s">
        <v>3423</v>
      </c>
      <c r="C3239" t="s">
        <v>7</v>
      </c>
      <c r="D3239" t="str">
        <f t="shared" si="103"/>
        <v>556904</v>
      </c>
      <c r="E3239" t="s">
        <v>2186</v>
      </c>
      <c r="F3239" t="s">
        <v>13</v>
      </c>
    </row>
    <row r="3240" spans="1:6" x14ac:dyDescent="0.25">
      <c r="A3240" t="str">
        <f>"04424972"</f>
        <v>04424972</v>
      </c>
      <c r="B3240" t="s">
        <v>3424</v>
      </c>
      <c r="C3240" t="s">
        <v>7</v>
      </c>
      <c r="D3240" t="str">
        <f t="shared" ref="D3240:D3303" si="104">"556904"</f>
        <v>556904</v>
      </c>
      <c r="E3240" t="s">
        <v>2186</v>
      </c>
      <c r="F3240" t="s">
        <v>13</v>
      </c>
    </row>
    <row r="3241" spans="1:6" x14ac:dyDescent="0.25">
      <c r="A3241" t="str">
        <f>"22855386"</f>
        <v>22855386</v>
      </c>
      <c r="B3241" t="s">
        <v>3425</v>
      </c>
      <c r="C3241" t="s">
        <v>7</v>
      </c>
      <c r="D3241" t="str">
        <f t="shared" si="104"/>
        <v>556904</v>
      </c>
      <c r="E3241" t="s">
        <v>2186</v>
      </c>
      <c r="F3241" t="s">
        <v>13</v>
      </c>
    </row>
    <row r="3242" spans="1:6" x14ac:dyDescent="0.25">
      <c r="A3242" t="str">
        <f>"03662683"</f>
        <v>03662683</v>
      </c>
      <c r="B3242" t="s">
        <v>3426</v>
      </c>
      <c r="C3242" t="s">
        <v>7</v>
      </c>
      <c r="D3242" t="str">
        <f t="shared" si="104"/>
        <v>556904</v>
      </c>
      <c r="E3242" t="s">
        <v>2186</v>
      </c>
      <c r="F3242" t="s">
        <v>13</v>
      </c>
    </row>
    <row r="3243" spans="1:6" x14ac:dyDescent="0.25">
      <c r="A3243" t="str">
        <f>"68280637"</f>
        <v>68280637</v>
      </c>
      <c r="B3243" t="s">
        <v>3427</v>
      </c>
      <c r="C3243" t="s">
        <v>7</v>
      </c>
      <c r="D3243" t="str">
        <f t="shared" si="104"/>
        <v>556904</v>
      </c>
      <c r="E3243" t="s">
        <v>2186</v>
      </c>
      <c r="F3243" t="s">
        <v>13</v>
      </c>
    </row>
    <row r="3244" spans="1:6" x14ac:dyDescent="0.25">
      <c r="A3244" t="str">
        <f>"26529050"</f>
        <v>26529050</v>
      </c>
      <c r="B3244" t="s">
        <v>3428</v>
      </c>
      <c r="C3244" t="s">
        <v>7</v>
      </c>
      <c r="D3244" t="str">
        <f t="shared" si="104"/>
        <v>556904</v>
      </c>
      <c r="E3244" t="s">
        <v>2186</v>
      </c>
      <c r="F3244" t="s">
        <v>11</v>
      </c>
    </row>
    <row r="3245" spans="1:6" x14ac:dyDescent="0.25">
      <c r="A3245" t="str">
        <f>"22708863"</f>
        <v>22708863</v>
      </c>
      <c r="B3245" t="s">
        <v>3429</v>
      </c>
      <c r="C3245" t="s">
        <v>7</v>
      </c>
      <c r="D3245" t="str">
        <f t="shared" si="104"/>
        <v>556904</v>
      </c>
      <c r="E3245" t="s">
        <v>2186</v>
      </c>
      <c r="F3245" t="s">
        <v>13</v>
      </c>
    </row>
    <row r="3246" spans="1:6" x14ac:dyDescent="0.25">
      <c r="A3246" t="str">
        <f>"04104102"</f>
        <v>04104102</v>
      </c>
      <c r="B3246" t="s">
        <v>3430</v>
      </c>
      <c r="C3246" t="s">
        <v>7</v>
      </c>
      <c r="D3246" t="str">
        <f t="shared" si="104"/>
        <v>556904</v>
      </c>
      <c r="E3246" t="s">
        <v>2186</v>
      </c>
      <c r="F3246" t="s">
        <v>13</v>
      </c>
    </row>
    <row r="3247" spans="1:6" x14ac:dyDescent="0.25">
      <c r="A3247" t="str">
        <f>"71193529"</f>
        <v>71193529</v>
      </c>
      <c r="B3247" t="s">
        <v>3431</v>
      </c>
      <c r="C3247" t="s">
        <v>7</v>
      </c>
      <c r="D3247" t="str">
        <f t="shared" si="104"/>
        <v>556904</v>
      </c>
      <c r="E3247" t="s">
        <v>2186</v>
      </c>
      <c r="F3247" t="s">
        <v>11</v>
      </c>
    </row>
    <row r="3248" spans="1:6" x14ac:dyDescent="0.25">
      <c r="A3248" t="str">
        <f>"05587611"</f>
        <v>05587611</v>
      </c>
      <c r="B3248" t="s">
        <v>3432</v>
      </c>
      <c r="C3248" t="s">
        <v>7</v>
      </c>
      <c r="D3248" t="str">
        <f t="shared" si="104"/>
        <v>556904</v>
      </c>
      <c r="E3248" t="s">
        <v>2186</v>
      </c>
      <c r="F3248" t="s">
        <v>13</v>
      </c>
    </row>
    <row r="3249" spans="1:6" x14ac:dyDescent="0.25">
      <c r="A3249" t="str">
        <f>"03523861"</f>
        <v>03523861</v>
      </c>
      <c r="B3249" t="s">
        <v>3433</v>
      </c>
      <c r="C3249" t="s">
        <v>7</v>
      </c>
      <c r="D3249" t="str">
        <f t="shared" si="104"/>
        <v>556904</v>
      </c>
      <c r="E3249" t="s">
        <v>2186</v>
      </c>
      <c r="F3249" t="s">
        <v>13</v>
      </c>
    </row>
    <row r="3250" spans="1:6" x14ac:dyDescent="0.25">
      <c r="A3250" t="str">
        <f>"07679262"</f>
        <v>07679262</v>
      </c>
      <c r="B3250" t="s">
        <v>3434</v>
      </c>
      <c r="C3250" t="s">
        <v>7</v>
      </c>
      <c r="D3250" t="str">
        <f t="shared" si="104"/>
        <v>556904</v>
      </c>
      <c r="E3250" t="s">
        <v>2186</v>
      </c>
      <c r="F3250" t="s">
        <v>13</v>
      </c>
    </row>
    <row r="3251" spans="1:6" x14ac:dyDescent="0.25">
      <c r="A3251" t="str">
        <f>"09591231"</f>
        <v>09591231</v>
      </c>
      <c r="B3251" t="s">
        <v>3435</v>
      </c>
      <c r="C3251" t="s">
        <v>7</v>
      </c>
      <c r="D3251" t="str">
        <f t="shared" si="104"/>
        <v>556904</v>
      </c>
      <c r="E3251" t="s">
        <v>2186</v>
      </c>
      <c r="F3251" t="s">
        <v>11</v>
      </c>
    </row>
    <row r="3252" spans="1:6" x14ac:dyDescent="0.25">
      <c r="A3252" t="str">
        <f>"04579551"</f>
        <v>04579551</v>
      </c>
      <c r="B3252" t="s">
        <v>3436</v>
      </c>
      <c r="C3252" t="s">
        <v>7</v>
      </c>
      <c r="D3252" t="str">
        <f t="shared" si="104"/>
        <v>556904</v>
      </c>
      <c r="E3252" t="s">
        <v>2186</v>
      </c>
      <c r="F3252" t="s">
        <v>137</v>
      </c>
    </row>
    <row r="3253" spans="1:6" x14ac:dyDescent="0.25">
      <c r="A3253" t="str">
        <f>"05743893"</f>
        <v>05743893</v>
      </c>
      <c r="B3253" t="s">
        <v>3437</v>
      </c>
      <c r="C3253" t="s">
        <v>7</v>
      </c>
      <c r="D3253" t="str">
        <f t="shared" si="104"/>
        <v>556904</v>
      </c>
      <c r="E3253" t="s">
        <v>2186</v>
      </c>
      <c r="F3253" t="s">
        <v>13</v>
      </c>
    </row>
    <row r="3254" spans="1:6" x14ac:dyDescent="0.25">
      <c r="A3254" t="str">
        <f>"22903291"</f>
        <v>22903291</v>
      </c>
      <c r="B3254" t="s">
        <v>3438</v>
      </c>
      <c r="C3254" t="s">
        <v>7</v>
      </c>
      <c r="D3254" t="str">
        <f t="shared" si="104"/>
        <v>556904</v>
      </c>
      <c r="E3254" t="s">
        <v>2186</v>
      </c>
      <c r="F3254" t="s">
        <v>11</v>
      </c>
    </row>
    <row r="3255" spans="1:6" x14ac:dyDescent="0.25">
      <c r="A3255" t="str">
        <f>"22866451"</f>
        <v>22866451</v>
      </c>
      <c r="B3255" t="s">
        <v>3439</v>
      </c>
      <c r="C3255" t="s">
        <v>7</v>
      </c>
      <c r="D3255" t="str">
        <f t="shared" si="104"/>
        <v>556904</v>
      </c>
      <c r="E3255" t="s">
        <v>2186</v>
      </c>
      <c r="F3255" t="s">
        <v>11</v>
      </c>
    </row>
    <row r="3256" spans="1:6" x14ac:dyDescent="0.25">
      <c r="A3256" t="str">
        <f>"06504221"</f>
        <v>06504221</v>
      </c>
      <c r="B3256" t="s">
        <v>3440</v>
      </c>
      <c r="C3256" t="s">
        <v>7</v>
      </c>
      <c r="D3256" t="str">
        <f t="shared" si="104"/>
        <v>556904</v>
      </c>
      <c r="E3256" t="s">
        <v>2186</v>
      </c>
      <c r="F3256" t="s">
        <v>139</v>
      </c>
    </row>
    <row r="3257" spans="1:6" x14ac:dyDescent="0.25">
      <c r="A3257" t="str">
        <f>"26666626"</f>
        <v>26666626</v>
      </c>
      <c r="B3257" t="s">
        <v>3441</v>
      </c>
      <c r="C3257" t="s">
        <v>7</v>
      </c>
      <c r="D3257" t="str">
        <f t="shared" si="104"/>
        <v>556904</v>
      </c>
      <c r="E3257" t="s">
        <v>2186</v>
      </c>
      <c r="F3257" t="s">
        <v>11</v>
      </c>
    </row>
    <row r="3258" spans="1:6" x14ac:dyDescent="0.25">
      <c r="A3258" t="str">
        <f>"88397807"</f>
        <v>88397807</v>
      </c>
      <c r="B3258" t="s">
        <v>3442</v>
      </c>
      <c r="C3258" t="s">
        <v>7</v>
      </c>
      <c r="D3258" t="str">
        <f t="shared" si="104"/>
        <v>556904</v>
      </c>
      <c r="E3258" t="s">
        <v>2186</v>
      </c>
      <c r="F3258" t="s">
        <v>11</v>
      </c>
    </row>
    <row r="3259" spans="1:6" x14ac:dyDescent="0.25">
      <c r="A3259" t="str">
        <f>"04619251"</f>
        <v>04619251</v>
      </c>
      <c r="B3259" t="s">
        <v>3443</v>
      </c>
      <c r="C3259" t="s">
        <v>7</v>
      </c>
      <c r="D3259" t="str">
        <f t="shared" si="104"/>
        <v>556904</v>
      </c>
      <c r="E3259" t="s">
        <v>2186</v>
      </c>
      <c r="F3259" t="s">
        <v>11</v>
      </c>
    </row>
    <row r="3260" spans="1:6" x14ac:dyDescent="0.25">
      <c r="A3260" t="str">
        <f>"22692452"</f>
        <v>22692452</v>
      </c>
      <c r="B3260" t="s">
        <v>3444</v>
      </c>
      <c r="C3260" t="s">
        <v>7</v>
      </c>
      <c r="D3260" t="str">
        <f t="shared" si="104"/>
        <v>556904</v>
      </c>
      <c r="E3260" t="s">
        <v>2186</v>
      </c>
      <c r="F3260" t="s">
        <v>11</v>
      </c>
    </row>
    <row r="3261" spans="1:6" x14ac:dyDescent="0.25">
      <c r="A3261" t="str">
        <f>"03295532"</f>
        <v>03295532</v>
      </c>
      <c r="B3261" t="s">
        <v>3445</v>
      </c>
      <c r="C3261" t="s">
        <v>7</v>
      </c>
      <c r="D3261" t="str">
        <f t="shared" si="104"/>
        <v>556904</v>
      </c>
      <c r="E3261" t="s">
        <v>2186</v>
      </c>
      <c r="F3261" t="s">
        <v>11</v>
      </c>
    </row>
    <row r="3262" spans="1:6" x14ac:dyDescent="0.25">
      <c r="A3262" t="str">
        <f>"02165694"</f>
        <v>02165694</v>
      </c>
      <c r="B3262" t="s">
        <v>3446</v>
      </c>
      <c r="C3262" t="s">
        <v>7</v>
      </c>
      <c r="D3262" t="str">
        <f t="shared" si="104"/>
        <v>556904</v>
      </c>
      <c r="E3262" t="s">
        <v>2186</v>
      </c>
      <c r="F3262" t="s">
        <v>389</v>
      </c>
    </row>
    <row r="3263" spans="1:6" x14ac:dyDescent="0.25">
      <c r="A3263" t="str">
        <f>"05413087"</f>
        <v>05413087</v>
      </c>
      <c r="B3263" t="s">
        <v>3447</v>
      </c>
      <c r="C3263" t="s">
        <v>7</v>
      </c>
      <c r="D3263" t="str">
        <f t="shared" si="104"/>
        <v>556904</v>
      </c>
      <c r="E3263" t="s">
        <v>2186</v>
      </c>
      <c r="F3263" t="s">
        <v>11</v>
      </c>
    </row>
    <row r="3264" spans="1:6" x14ac:dyDescent="0.25">
      <c r="A3264" t="str">
        <f>"07361424"</f>
        <v>07361424</v>
      </c>
      <c r="B3264" t="s">
        <v>3448</v>
      </c>
      <c r="C3264" t="s">
        <v>7</v>
      </c>
      <c r="D3264" t="str">
        <f t="shared" si="104"/>
        <v>556904</v>
      </c>
      <c r="E3264" t="s">
        <v>2186</v>
      </c>
      <c r="F3264" t="s">
        <v>11</v>
      </c>
    </row>
    <row r="3265" spans="1:6" x14ac:dyDescent="0.25">
      <c r="A3265" t="str">
        <f>"26673363"</f>
        <v>26673363</v>
      </c>
      <c r="B3265" t="s">
        <v>3449</v>
      </c>
      <c r="C3265" t="s">
        <v>7</v>
      </c>
      <c r="D3265" t="str">
        <f t="shared" si="104"/>
        <v>556904</v>
      </c>
      <c r="E3265" t="s">
        <v>2186</v>
      </c>
      <c r="F3265" t="s">
        <v>11</v>
      </c>
    </row>
    <row r="3266" spans="1:6" x14ac:dyDescent="0.25">
      <c r="A3266" t="str">
        <f>"00435180"</f>
        <v>00435180</v>
      </c>
      <c r="B3266" t="s">
        <v>3450</v>
      </c>
      <c r="C3266" t="s">
        <v>7</v>
      </c>
      <c r="D3266" t="str">
        <f t="shared" si="104"/>
        <v>556904</v>
      </c>
      <c r="E3266" t="s">
        <v>2186</v>
      </c>
      <c r="F3266" t="s">
        <v>11</v>
      </c>
    </row>
    <row r="3267" spans="1:6" x14ac:dyDescent="0.25">
      <c r="A3267" t="str">
        <f>"07823932"</f>
        <v>07823932</v>
      </c>
      <c r="B3267" t="s">
        <v>3451</v>
      </c>
      <c r="C3267" t="s">
        <v>7</v>
      </c>
      <c r="D3267" t="str">
        <f t="shared" si="104"/>
        <v>556904</v>
      </c>
      <c r="E3267" t="s">
        <v>2186</v>
      </c>
      <c r="F3267" t="s">
        <v>13</v>
      </c>
    </row>
    <row r="3268" spans="1:6" x14ac:dyDescent="0.25">
      <c r="A3268" t="str">
        <f>"02389193"</f>
        <v>02389193</v>
      </c>
      <c r="B3268" t="s">
        <v>3452</v>
      </c>
      <c r="C3268" t="s">
        <v>7</v>
      </c>
      <c r="D3268" t="str">
        <f t="shared" si="104"/>
        <v>556904</v>
      </c>
      <c r="E3268" t="s">
        <v>2186</v>
      </c>
      <c r="F3268" t="s">
        <v>11</v>
      </c>
    </row>
    <row r="3269" spans="1:6" x14ac:dyDescent="0.25">
      <c r="A3269" t="str">
        <f>"04817338"</f>
        <v>04817338</v>
      </c>
      <c r="B3269" t="s">
        <v>3453</v>
      </c>
      <c r="C3269" t="s">
        <v>7</v>
      </c>
      <c r="D3269" t="str">
        <f t="shared" si="104"/>
        <v>556904</v>
      </c>
      <c r="E3269" t="s">
        <v>2186</v>
      </c>
      <c r="F3269" t="s">
        <v>11</v>
      </c>
    </row>
    <row r="3270" spans="1:6" x14ac:dyDescent="0.25">
      <c r="A3270" t="str">
        <f>"04572904"</f>
        <v>04572904</v>
      </c>
      <c r="B3270" t="s">
        <v>3454</v>
      </c>
      <c r="C3270" t="s">
        <v>7</v>
      </c>
      <c r="D3270" t="str">
        <f t="shared" si="104"/>
        <v>556904</v>
      </c>
      <c r="E3270" t="s">
        <v>2186</v>
      </c>
      <c r="F3270" t="s">
        <v>11</v>
      </c>
    </row>
    <row r="3271" spans="1:6" x14ac:dyDescent="0.25">
      <c r="A3271" t="str">
        <f>"06268366"</f>
        <v>06268366</v>
      </c>
      <c r="B3271" t="s">
        <v>3455</v>
      </c>
      <c r="C3271" t="s">
        <v>7</v>
      </c>
      <c r="D3271" t="str">
        <f t="shared" si="104"/>
        <v>556904</v>
      </c>
      <c r="E3271" t="s">
        <v>2186</v>
      </c>
      <c r="F3271" t="s">
        <v>18</v>
      </c>
    </row>
    <row r="3272" spans="1:6" x14ac:dyDescent="0.25">
      <c r="A3272" t="str">
        <f>"03522971"</f>
        <v>03522971</v>
      </c>
      <c r="B3272" t="s">
        <v>3456</v>
      </c>
      <c r="C3272" t="s">
        <v>7</v>
      </c>
      <c r="D3272" t="str">
        <f t="shared" si="104"/>
        <v>556904</v>
      </c>
      <c r="E3272" t="s">
        <v>2186</v>
      </c>
      <c r="F3272" t="s">
        <v>29</v>
      </c>
    </row>
    <row r="3273" spans="1:6" x14ac:dyDescent="0.25">
      <c r="A3273" t="str">
        <f>"26633434"</f>
        <v>26633434</v>
      </c>
      <c r="B3273" t="s">
        <v>3457</v>
      </c>
      <c r="C3273" t="s">
        <v>7</v>
      </c>
      <c r="D3273" t="str">
        <f t="shared" si="104"/>
        <v>556904</v>
      </c>
      <c r="E3273" t="s">
        <v>2186</v>
      </c>
      <c r="F3273" t="s">
        <v>11</v>
      </c>
    </row>
    <row r="3274" spans="1:6" x14ac:dyDescent="0.25">
      <c r="A3274" t="str">
        <f>"72549840"</f>
        <v>72549840</v>
      </c>
      <c r="B3274" t="s">
        <v>3458</v>
      </c>
      <c r="C3274" t="s">
        <v>7</v>
      </c>
      <c r="D3274" t="str">
        <f t="shared" si="104"/>
        <v>556904</v>
      </c>
      <c r="E3274" t="s">
        <v>2186</v>
      </c>
      <c r="F3274" t="s">
        <v>11</v>
      </c>
    </row>
    <row r="3275" spans="1:6" x14ac:dyDescent="0.25">
      <c r="A3275" t="str">
        <f>"08808520"</f>
        <v>08808520</v>
      </c>
      <c r="B3275" t="s">
        <v>3459</v>
      </c>
      <c r="C3275" t="s">
        <v>7</v>
      </c>
      <c r="D3275" t="str">
        <f t="shared" si="104"/>
        <v>556904</v>
      </c>
      <c r="E3275" t="s">
        <v>2186</v>
      </c>
      <c r="F3275" t="s">
        <v>11</v>
      </c>
    </row>
    <row r="3276" spans="1:6" x14ac:dyDescent="0.25">
      <c r="A3276" t="str">
        <f>"22692631"</f>
        <v>22692631</v>
      </c>
      <c r="B3276" t="s">
        <v>3460</v>
      </c>
      <c r="C3276" t="s">
        <v>7</v>
      </c>
      <c r="D3276" t="str">
        <f t="shared" si="104"/>
        <v>556904</v>
      </c>
      <c r="E3276" t="s">
        <v>2186</v>
      </c>
      <c r="F3276" t="s">
        <v>9</v>
      </c>
    </row>
    <row r="3277" spans="1:6" x14ac:dyDescent="0.25">
      <c r="A3277" t="str">
        <f>"27049680"</f>
        <v>27049680</v>
      </c>
      <c r="B3277" t="s">
        <v>3461</v>
      </c>
      <c r="C3277" t="s">
        <v>7</v>
      </c>
      <c r="D3277" t="str">
        <f t="shared" si="104"/>
        <v>556904</v>
      </c>
      <c r="E3277" t="s">
        <v>2186</v>
      </c>
      <c r="F3277" t="s">
        <v>9</v>
      </c>
    </row>
    <row r="3278" spans="1:6" x14ac:dyDescent="0.25">
      <c r="A3278" t="str">
        <f>"66112052"</f>
        <v>66112052</v>
      </c>
      <c r="B3278" t="s">
        <v>3462</v>
      </c>
      <c r="C3278" t="s">
        <v>7</v>
      </c>
      <c r="D3278" t="str">
        <f t="shared" si="104"/>
        <v>556904</v>
      </c>
      <c r="E3278" t="s">
        <v>2186</v>
      </c>
      <c r="F3278" t="s">
        <v>65</v>
      </c>
    </row>
    <row r="3279" spans="1:6" x14ac:dyDescent="0.25">
      <c r="A3279" t="str">
        <f>"70806233"</f>
        <v>70806233</v>
      </c>
      <c r="B3279" t="s">
        <v>3463</v>
      </c>
      <c r="C3279" t="s">
        <v>7</v>
      </c>
      <c r="D3279" t="str">
        <f t="shared" si="104"/>
        <v>556904</v>
      </c>
      <c r="E3279" t="s">
        <v>2186</v>
      </c>
      <c r="F3279" t="s">
        <v>35</v>
      </c>
    </row>
    <row r="3280" spans="1:6" x14ac:dyDescent="0.25">
      <c r="A3280" t="str">
        <f>"26530091"</f>
        <v>26530091</v>
      </c>
      <c r="B3280" t="s">
        <v>3464</v>
      </c>
      <c r="C3280" t="s">
        <v>7</v>
      </c>
      <c r="D3280" t="str">
        <f t="shared" si="104"/>
        <v>556904</v>
      </c>
      <c r="E3280" t="s">
        <v>2186</v>
      </c>
      <c r="F3280" t="s">
        <v>9</v>
      </c>
    </row>
    <row r="3281" spans="1:6" x14ac:dyDescent="0.25">
      <c r="A3281" t="str">
        <f>"27052494"</f>
        <v>27052494</v>
      </c>
      <c r="B3281" t="s">
        <v>3465</v>
      </c>
      <c r="C3281" t="s">
        <v>7</v>
      </c>
      <c r="D3281" t="str">
        <f t="shared" si="104"/>
        <v>556904</v>
      </c>
      <c r="E3281" t="s">
        <v>2186</v>
      </c>
      <c r="F3281" t="s">
        <v>35</v>
      </c>
    </row>
    <row r="3282" spans="1:6" x14ac:dyDescent="0.25">
      <c r="A3282" t="str">
        <f>"22842055"</f>
        <v>22842055</v>
      </c>
      <c r="B3282" t="s">
        <v>3466</v>
      </c>
      <c r="C3282" t="s">
        <v>7</v>
      </c>
      <c r="D3282" t="str">
        <f t="shared" si="104"/>
        <v>556904</v>
      </c>
      <c r="E3282" t="s">
        <v>2186</v>
      </c>
      <c r="F3282" t="s">
        <v>62</v>
      </c>
    </row>
    <row r="3283" spans="1:6" x14ac:dyDescent="0.25">
      <c r="A3283" t="str">
        <f>"03440419"</f>
        <v>03440419</v>
      </c>
      <c r="B3283" t="s">
        <v>3467</v>
      </c>
      <c r="C3283" t="s">
        <v>7</v>
      </c>
      <c r="D3283" t="str">
        <f t="shared" si="104"/>
        <v>556904</v>
      </c>
      <c r="E3283" t="s">
        <v>2186</v>
      </c>
      <c r="F3283" t="s">
        <v>62</v>
      </c>
    </row>
    <row r="3284" spans="1:6" x14ac:dyDescent="0.25">
      <c r="A3284" t="str">
        <f>"46747028"</f>
        <v>46747028</v>
      </c>
      <c r="B3284" t="s">
        <v>3468</v>
      </c>
      <c r="C3284" t="s">
        <v>7</v>
      </c>
      <c r="D3284" t="str">
        <f t="shared" si="104"/>
        <v>556904</v>
      </c>
      <c r="E3284" t="s">
        <v>2186</v>
      </c>
      <c r="F3284" t="s">
        <v>9</v>
      </c>
    </row>
    <row r="3285" spans="1:6" x14ac:dyDescent="0.25">
      <c r="A3285" t="str">
        <f>"22724931"</f>
        <v>22724931</v>
      </c>
      <c r="B3285" t="s">
        <v>3469</v>
      </c>
      <c r="C3285" t="s">
        <v>7</v>
      </c>
      <c r="D3285" t="str">
        <f t="shared" si="104"/>
        <v>556904</v>
      </c>
      <c r="E3285" t="s">
        <v>2186</v>
      </c>
      <c r="F3285" t="s">
        <v>9</v>
      </c>
    </row>
    <row r="3286" spans="1:6" x14ac:dyDescent="0.25">
      <c r="A3286" t="str">
        <f>"08459517"</f>
        <v>08459517</v>
      </c>
      <c r="B3286" t="s">
        <v>3470</v>
      </c>
      <c r="C3286" t="s">
        <v>7</v>
      </c>
      <c r="D3286" t="str">
        <f t="shared" si="104"/>
        <v>556904</v>
      </c>
      <c r="E3286" t="s">
        <v>2186</v>
      </c>
      <c r="F3286" t="s">
        <v>35</v>
      </c>
    </row>
    <row r="3287" spans="1:6" x14ac:dyDescent="0.25">
      <c r="A3287" t="str">
        <f>"08152977"</f>
        <v>08152977</v>
      </c>
      <c r="B3287" t="s">
        <v>3471</v>
      </c>
      <c r="C3287" t="s">
        <v>7</v>
      </c>
      <c r="D3287" t="str">
        <f t="shared" si="104"/>
        <v>556904</v>
      </c>
      <c r="E3287" t="s">
        <v>2186</v>
      </c>
      <c r="F3287" t="s">
        <v>11</v>
      </c>
    </row>
    <row r="3288" spans="1:6" x14ac:dyDescent="0.25">
      <c r="A3288" t="str">
        <f>"02448505"</f>
        <v>02448505</v>
      </c>
      <c r="B3288" t="s">
        <v>3472</v>
      </c>
      <c r="C3288" t="s">
        <v>7</v>
      </c>
      <c r="D3288" t="str">
        <f t="shared" si="104"/>
        <v>556904</v>
      </c>
      <c r="E3288" t="s">
        <v>2186</v>
      </c>
      <c r="F3288" t="s">
        <v>62</v>
      </c>
    </row>
    <row r="3289" spans="1:6" x14ac:dyDescent="0.25">
      <c r="A3289" t="str">
        <f>"22894209"</f>
        <v>22894209</v>
      </c>
      <c r="B3289" t="s">
        <v>3473</v>
      </c>
      <c r="C3289" t="s">
        <v>7</v>
      </c>
      <c r="D3289" t="str">
        <f t="shared" si="104"/>
        <v>556904</v>
      </c>
      <c r="E3289" t="s">
        <v>2186</v>
      </c>
      <c r="F3289" t="s">
        <v>35</v>
      </c>
    </row>
    <row r="3290" spans="1:6" x14ac:dyDescent="0.25">
      <c r="A3290" t="str">
        <f>"17786860"</f>
        <v>17786860</v>
      </c>
      <c r="B3290" t="s">
        <v>3474</v>
      </c>
      <c r="C3290" t="s">
        <v>7</v>
      </c>
      <c r="D3290" t="str">
        <f t="shared" si="104"/>
        <v>556904</v>
      </c>
      <c r="E3290" t="s">
        <v>2186</v>
      </c>
      <c r="F3290" t="s">
        <v>35</v>
      </c>
    </row>
    <row r="3291" spans="1:6" x14ac:dyDescent="0.25">
      <c r="A3291" t="str">
        <f>"46748709"</f>
        <v>46748709</v>
      </c>
      <c r="B3291" t="s">
        <v>3475</v>
      </c>
      <c r="C3291" t="s">
        <v>7</v>
      </c>
      <c r="D3291" t="str">
        <f t="shared" si="104"/>
        <v>556904</v>
      </c>
      <c r="E3291" t="s">
        <v>2186</v>
      </c>
      <c r="F3291" t="s">
        <v>9</v>
      </c>
    </row>
    <row r="3292" spans="1:6" x14ac:dyDescent="0.25">
      <c r="A3292" t="str">
        <f>"22881867"</f>
        <v>22881867</v>
      </c>
      <c r="B3292" t="s">
        <v>3476</v>
      </c>
      <c r="C3292" t="s">
        <v>7</v>
      </c>
      <c r="D3292" t="str">
        <f t="shared" si="104"/>
        <v>556904</v>
      </c>
      <c r="E3292" t="s">
        <v>2186</v>
      </c>
      <c r="F3292" t="s">
        <v>62</v>
      </c>
    </row>
    <row r="3293" spans="1:6" x14ac:dyDescent="0.25">
      <c r="A3293" t="str">
        <f>"26669617"</f>
        <v>26669617</v>
      </c>
      <c r="B3293" t="s">
        <v>3477</v>
      </c>
      <c r="C3293" t="s">
        <v>7</v>
      </c>
      <c r="D3293" t="str">
        <f t="shared" si="104"/>
        <v>556904</v>
      </c>
      <c r="E3293" t="s">
        <v>2186</v>
      </c>
      <c r="F3293" t="s">
        <v>35</v>
      </c>
    </row>
    <row r="3294" spans="1:6" x14ac:dyDescent="0.25">
      <c r="A3294" t="str">
        <f>"70861374"</f>
        <v>70861374</v>
      </c>
      <c r="B3294" t="s">
        <v>3478</v>
      </c>
      <c r="C3294" t="s">
        <v>7</v>
      </c>
      <c r="D3294" t="str">
        <f t="shared" si="104"/>
        <v>556904</v>
      </c>
      <c r="E3294" t="s">
        <v>2186</v>
      </c>
      <c r="F3294" t="s">
        <v>62</v>
      </c>
    </row>
    <row r="3295" spans="1:6" x14ac:dyDescent="0.25">
      <c r="A3295" t="str">
        <f>"03416429"</f>
        <v>03416429</v>
      </c>
      <c r="B3295" t="s">
        <v>3479</v>
      </c>
      <c r="C3295" t="s">
        <v>7</v>
      </c>
      <c r="D3295" t="str">
        <f t="shared" si="104"/>
        <v>556904</v>
      </c>
      <c r="E3295" t="s">
        <v>2186</v>
      </c>
      <c r="F3295" t="s">
        <v>62</v>
      </c>
    </row>
    <row r="3296" spans="1:6" x14ac:dyDescent="0.25">
      <c r="A3296" t="str">
        <f>"68974892"</f>
        <v>68974892</v>
      </c>
      <c r="B3296" t="s">
        <v>3480</v>
      </c>
      <c r="C3296" t="s">
        <v>7</v>
      </c>
      <c r="D3296" t="str">
        <f t="shared" si="104"/>
        <v>556904</v>
      </c>
      <c r="E3296" t="s">
        <v>2186</v>
      </c>
      <c r="F3296" t="s">
        <v>35</v>
      </c>
    </row>
    <row r="3297" spans="1:6" x14ac:dyDescent="0.25">
      <c r="A3297" t="str">
        <f>"22688579"</f>
        <v>22688579</v>
      </c>
      <c r="B3297" t="s">
        <v>3481</v>
      </c>
      <c r="C3297" t="s">
        <v>7</v>
      </c>
      <c r="D3297" t="str">
        <f t="shared" si="104"/>
        <v>556904</v>
      </c>
      <c r="E3297" t="s">
        <v>2186</v>
      </c>
      <c r="F3297" t="s">
        <v>9</v>
      </c>
    </row>
    <row r="3298" spans="1:6" x14ac:dyDescent="0.25">
      <c r="A3298" t="str">
        <f>"22670017"</f>
        <v>22670017</v>
      </c>
      <c r="B3298" t="s">
        <v>3482</v>
      </c>
      <c r="C3298" t="s">
        <v>7</v>
      </c>
      <c r="D3298" t="str">
        <f t="shared" si="104"/>
        <v>556904</v>
      </c>
      <c r="E3298" t="s">
        <v>2186</v>
      </c>
      <c r="F3298" t="s">
        <v>35</v>
      </c>
    </row>
    <row r="3299" spans="1:6" x14ac:dyDescent="0.25">
      <c r="A3299" t="str">
        <f>"46746544"</f>
        <v>46746544</v>
      </c>
      <c r="B3299" t="s">
        <v>3483</v>
      </c>
      <c r="C3299" t="s">
        <v>7</v>
      </c>
      <c r="D3299" t="str">
        <f t="shared" si="104"/>
        <v>556904</v>
      </c>
      <c r="E3299" t="s">
        <v>2186</v>
      </c>
      <c r="F3299" t="s">
        <v>35</v>
      </c>
    </row>
    <row r="3300" spans="1:6" x14ac:dyDescent="0.25">
      <c r="A3300" t="str">
        <f>"26670178"</f>
        <v>26670178</v>
      </c>
      <c r="B3300" t="s">
        <v>3484</v>
      </c>
      <c r="C3300" t="s">
        <v>7</v>
      </c>
      <c r="D3300" t="str">
        <f t="shared" si="104"/>
        <v>556904</v>
      </c>
      <c r="E3300" t="s">
        <v>2186</v>
      </c>
      <c r="F3300" t="s">
        <v>35</v>
      </c>
    </row>
    <row r="3301" spans="1:6" x14ac:dyDescent="0.25">
      <c r="A3301" t="str">
        <f>"65635477"</f>
        <v>65635477</v>
      </c>
      <c r="B3301" t="s">
        <v>3485</v>
      </c>
      <c r="C3301" t="s">
        <v>7</v>
      </c>
      <c r="D3301" t="str">
        <f t="shared" si="104"/>
        <v>556904</v>
      </c>
      <c r="E3301" t="s">
        <v>2186</v>
      </c>
      <c r="F3301" t="s">
        <v>9</v>
      </c>
    </row>
    <row r="3302" spans="1:6" x14ac:dyDescent="0.25">
      <c r="A3302" t="str">
        <f>"26577887"</f>
        <v>26577887</v>
      </c>
      <c r="B3302" t="s">
        <v>3486</v>
      </c>
      <c r="C3302" t="s">
        <v>7</v>
      </c>
      <c r="D3302" t="str">
        <f t="shared" si="104"/>
        <v>556904</v>
      </c>
      <c r="E3302" t="s">
        <v>2186</v>
      </c>
      <c r="F3302" t="s">
        <v>9</v>
      </c>
    </row>
    <row r="3303" spans="1:6" x14ac:dyDescent="0.25">
      <c r="A3303" t="str">
        <f>"70844135"</f>
        <v>70844135</v>
      </c>
      <c r="B3303" t="s">
        <v>3487</v>
      </c>
      <c r="C3303" t="s">
        <v>7</v>
      </c>
      <c r="D3303" t="str">
        <f t="shared" si="104"/>
        <v>556904</v>
      </c>
      <c r="E3303" t="s">
        <v>2186</v>
      </c>
      <c r="F3303" t="s">
        <v>35</v>
      </c>
    </row>
    <row r="3304" spans="1:6" x14ac:dyDescent="0.25">
      <c r="A3304" t="str">
        <f>"64040577"</f>
        <v>64040577</v>
      </c>
      <c r="B3304" t="s">
        <v>3488</v>
      </c>
      <c r="C3304" t="s">
        <v>7</v>
      </c>
      <c r="D3304" t="str">
        <f t="shared" ref="D3304:D3367" si="105">"556904"</f>
        <v>556904</v>
      </c>
      <c r="E3304" t="s">
        <v>2186</v>
      </c>
      <c r="F3304" t="s">
        <v>9</v>
      </c>
    </row>
    <row r="3305" spans="1:6" x14ac:dyDescent="0.25">
      <c r="A3305" t="str">
        <f>"69388717"</f>
        <v>69388717</v>
      </c>
      <c r="B3305" t="s">
        <v>3489</v>
      </c>
      <c r="C3305" t="s">
        <v>7</v>
      </c>
      <c r="D3305" t="str">
        <f t="shared" si="105"/>
        <v>556904</v>
      </c>
      <c r="E3305" t="s">
        <v>2186</v>
      </c>
      <c r="F3305" t="s">
        <v>35</v>
      </c>
    </row>
    <row r="3306" spans="1:6" x14ac:dyDescent="0.25">
      <c r="A3306" t="str">
        <f>"46749675"</f>
        <v>46749675</v>
      </c>
      <c r="B3306" t="s">
        <v>3490</v>
      </c>
      <c r="C3306" t="s">
        <v>7</v>
      </c>
      <c r="D3306" t="str">
        <f t="shared" si="105"/>
        <v>556904</v>
      </c>
      <c r="E3306" t="s">
        <v>2186</v>
      </c>
      <c r="F3306" t="s">
        <v>9</v>
      </c>
    </row>
    <row r="3307" spans="1:6" x14ac:dyDescent="0.25">
      <c r="A3307" t="str">
        <f>"03470938"</f>
        <v>03470938</v>
      </c>
      <c r="B3307" t="s">
        <v>3491</v>
      </c>
      <c r="C3307" t="s">
        <v>7</v>
      </c>
      <c r="D3307" t="str">
        <f t="shared" si="105"/>
        <v>556904</v>
      </c>
      <c r="E3307" t="s">
        <v>2186</v>
      </c>
      <c r="F3307" t="s">
        <v>35</v>
      </c>
    </row>
    <row r="3308" spans="1:6" x14ac:dyDescent="0.25">
      <c r="A3308" t="str">
        <f>"64040496"</f>
        <v>64040496</v>
      </c>
      <c r="B3308" t="s">
        <v>3492</v>
      </c>
      <c r="C3308" t="s">
        <v>7</v>
      </c>
      <c r="D3308" t="str">
        <f t="shared" si="105"/>
        <v>556904</v>
      </c>
      <c r="E3308" t="s">
        <v>2186</v>
      </c>
      <c r="F3308" t="s">
        <v>9</v>
      </c>
    </row>
    <row r="3309" spans="1:6" x14ac:dyDescent="0.25">
      <c r="A3309" t="str">
        <f>"26517507"</f>
        <v>26517507</v>
      </c>
      <c r="B3309" t="s">
        <v>3493</v>
      </c>
      <c r="C3309" t="s">
        <v>7</v>
      </c>
      <c r="D3309" t="str">
        <f t="shared" si="105"/>
        <v>556904</v>
      </c>
      <c r="E3309" t="s">
        <v>2186</v>
      </c>
      <c r="F3309" t="s">
        <v>11</v>
      </c>
    </row>
    <row r="3310" spans="1:6" x14ac:dyDescent="0.25">
      <c r="A3310" t="str">
        <f>"70876070"</f>
        <v>70876070</v>
      </c>
      <c r="B3310" t="s">
        <v>3494</v>
      </c>
      <c r="C3310" t="s">
        <v>7</v>
      </c>
      <c r="D3310" t="str">
        <f t="shared" si="105"/>
        <v>556904</v>
      </c>
      <c r="E3310" t="s">
        <v>2186</v>
      </c>
      <c r="F3310" t="s">
        <v>35</v>
      </c>
    </row>
    <row r="3311" spans="1:6" x14ac:dyDescent="0.25">
      <c r="A3311" t="str">
        <f>"22836969"</f>
        <v>22836969</v>
      </c>
      <c r="B3311" t="s">
        <v>3495</v>
      </c>
      <c r="C3311" t="s">
        <v>7</v>
      </c>
      <c r="D3311" t="str">
        <f t="shared" si="105"/>
        <v>556904</v>
      </c>
      <c r="E3311" t="s">
        <v>2186</v>
      </c>
      <c r="F3311" t="s">
        <v>35</v>
      </c>
    </row>
    <row r="3312" spans="1:6" x14ac:dyDescent="0.25">
      <c r="A3312" t="str">
        <f>"22817476"</f>
        <v>22817476</v>
      </c>
      <c r="B3312" t="s">
        <v>3496</v>
      </c>
      <c r="C3312" t="s">
        <v>7</v>
      </c>
      <c r="D3312" t="str">
        <f t="shared" si="105"/>
        <v>556904</v>
      </c>
      <c r="E3312" t="s">
        <v>2186</v>
      </c>
      <c r="F3312" t="s">
        <v>35</v>
      </c>
    </row>
    <row r="3313" spans="1:6" x14ac:dyDescent="0.25">
      <c r="A3313" t="str">
        <f>"46746170"</f>
        <v>46746170</v>
      </c>
      <c r="B3313" t="s">
        <v>3497</v>
      </c>
      <c r="C3313" t="s">
        <v>7</v>
      </c>
      <c r="D3313" t="str">
        <f t="shared" si="105"/>
        <v>556904</v>
      </c>
      <c r="E3313" t="s">
        <v>2186</v>
      </c>
      <c r="F3313" t="s">
        <v>9</v>
      </c>
    </row>
    <row r="3314" spans="1:6" x14ac:dyDescent="0.25">
      <c r="A3314" t="str">
        <f>"01931253"</f>
        <v>01931253</v>
      </c>
      <c r="B3314" t="s">
        <v>3498</v>
      </c>
      <c r="C3314" t="s">
        <v>7</v>
      </c>
      <c r="D3314" t="str">
        <f t="shared" si="105"/>
        <v>556904</v>
      </c>
      <c r="E3314" t="s">
        <v>2186</v>
      </c>
      <c r="F3314" t="s">
        <v>62</v>
      </c>
    </row>
    <row r="3315" spans="1:6" x14ac:dyDescent="0.25">
      <c r="A3315" t="str">
        <f>"68982801"</f>
        <v>68982801</v>
      </c>
      <c r="B3315" t="s">
        <v>3499</v>
      </c>
      <c r="C3315" t="s">
        <v>7</v>
      </c>
      <c r="D3315" t="str">
        <f t="shared" si="105"/>
        <v>556904</v>
      </c>
      <c r="E3315" t="s">
        <v>2186</v>
      </c>
      <c r="F3315" t="s">
        <v>35</v>
      </c>
    </row>
    <row r="3316" spans="1:6" x14ac:dyDescent="0.25">
      <c r="A3316" t="str">
        <f>"22662332"</f>
        <v>22662332</v>
      </c>
      <c r="B3316" t="s">
        <v>3500</v>
      </c>
      <c r="C3316" t="s">
        <v>7</v>
      </c>
      <c r="D3316" t="str">
        <f t="shared" si="105"/>
        <v>556904</v>
      </c>
      <c r="E3316" t="s">
        <v>2186</v>
      </c>
      <c r="F3316" t="s">
        <v>35</v>
      </c>
    </row>
    <row r="3317" spans="1:6" x14ac:dyDescent="0.25">
      <c r="A3317" t="str">
        <f>"46747338"</f>
        <v>46747338</v>
      </c>
      <c r="B3317" t="s">
        <v>3501</v>
      </c>
      <c r="C3317" t="s">
        <v>7</v>
      </c>
      <c r="D3317" t="str">
        <f t="shared" si="105"/>
        <v>556904</v>
      </c>
      <c r="E3317" t="s">
        <v>2186</v>
      </c>
      <c r="F3317" t="s">
        <v>9</v>
      </c>
    </row>
    <row r="3318" spans="1:6" x14ac:dyDescent="0.25">
      <c r="A3318" t="str">
        <f>"05015952"</f>
        <v>05015952</v>
      </c>
      <c r="B3318" t="s">
        <v>3502</v>
      </c>
      <c r="C3318" t="s">
        <v>7</v>
      </c>
      <c r="D3318" t="str">
        <f t="shared" si="105"/>
        <v>556904</v>
      </c>
      <c r="E3318" t="s">
        <v>2186</v>
      </c>
      <c r="F3318" t="s">
        <v>65</v>
      </c>
    </row>
    <row r="3319" spans="1:6" x14ac:dyDescent="0.25">
      <c r="A3319" t="str">
        <f>"46748229"</f>
        <v>46748229</v>
      </c>
      <c r="B3319" t="s">
        <v>3503</v>
      </c>
      <c r="C3319" t="s">
        <v>7</v>
      </c>
      <c r="D3319" t="str">
        <f t="shared" si="105"/>
        <v>556904</v>
      </c>
      <c r="E3319" t="s">
        <v>2186</v>
      </c>
      <c r="F3319" t="s">
        <v>9</v>
      </c>
    </row>
    <row r="3320" spans="1:6" x14ac:dyDescent="0.25">
      <c r="A3320" t="str">
        <f>"65100662"</f>
        <v>65100662</v>
      </c>
      <c r="B3320" t="s">
        <v>3504</v>
      </c>
      <c r="C3320" t="s">
        <v>7</v>
      </c>
      <c r="D3320" t="str">
        <f t="shared" si="105"/>
        <v>556904</v>
      </c>
      <c r="E3320" t="s">
        <v>2186</v>
      </c>
      <c r="F3320" t="s">
        <v>9</v>
      </c>
    </row>
    <row r="3321" spans="1:6" x14ac:dyDescent="0.25">
      <c r="A3321" t="str">
        <f>"68429592"</f>
        <v>68429592</v>
      </c>
      <c r="B3321" t="s">
        <v>3505</v>
      </c>
      <c r="C3321" t="s">
        <v>7</v>
      </c>
      <c r="D3321" t="str">
        <f t="shared" si="105"/>
        <v>556904</v>
      </c>
      <c r="E3321" t="s">
        <v>2186</v>
      </c>
      <c r="F3321" t="s">
        <v>65</v>
      </c>
    </row>
    <row r="3322" spans="1:6" x14ac:dyDescent="0.25">
      <c r="A3322" t="str">
        <f>"46749781"</f>
        <v>46749781</v>
      </c>
      <c r="B3322" t="s">
        <v>3506</v>
      </c>
      <c r="C3322" t="s">
        <v>7</v>
      </c>
      <c r="D3322" t="str">
        <f t="shared" si="105"/>
        <v>556904</v>
      </c>
      <c r="E3322" t="s">
        <v>2186</v>
      </c>
      <c r="F3322" t="s">
        <v>9</v>
      </c>
    </row>
    <row r="3323" spans="1:6" x14ac:dyDescent="0.25">
      <c r="A3323" t="str">
        <f>"46749497"</f>
        <v>46749497</v>
      </c>
      <c r="B3323" t="s">
        <v>3507</v>
      </c>
      <c r="C3323" t="s">
        <v>7</v>
      </c>
      <c r="D3323" t="str">
        <f t="shared" si="105"/>
        <v>556904</v>
      </c>
      <c r="E3323" t="s">
        <v>2186</v>
      </c>
      <c r="F3323" t="s">
        <v>9</v>
      </c>
    </row>
    <row r="3324" spans="1:6" x14ac:dyDescent="0.25">
      <c r="A3324" t="str">
        <f>"69388091"</f>
        <v>69388091</v>
      </c>
      <c r="B3324" t="s">
        <v>3508</v>
      </c>
      <c r="C3324" t="s">
        <v>7</v>
      </c>
      <c r="D3324" t="str">
        <f t="shared" si="105"/>
        <v>556904</v>
      </c>
      <c r="E3324" t="s">
        <v>2186</v>
      </c>
      <c r="F3324" t="s">
        <v>35</v>
      </c>
    </row>
    <row r="3325" spans="1:6" x14ac:dyDescent="0.25">
      <c r="A3325" t="str">
        <f>"27017559"</f>
        <v>27017559</v>
      </c>
      <c r="B3325" t="s">
        <v>3509</v>
      </c>
      <c r="C3325" t="s">
        <v>7</v>
      </c>
      <c r="D3325" t="str">
        <f t="shared" si="105"/>
        <v>556904</v>
      </c>
      <c r="E3325" t="s">
        <v>2186</v>
      </c>
      <c r="F3325" t="s">
        <v>9</v>
      </c>
    </row>
    <row r="3326" spans="1:6" x14ac:dyDescent="0.25">
      <c r="A3326" t="str">
        <f>"46745661"</f>
        <v>46745661</v>
      </c>
      <c r="B3326" t="s">
        <v>3510</v>
      </c>
      <c r="C3326" t="s">
        <v>7</v>
      </c>
      <c r="D3326" t="str">
        <f t="shared" si="105"/>
        <v>556904</v>
      </c>
      <c r="E3326" t="s">
        <v>2186</v>
      </c>
      <c r="F3326" t="s">
        <v>35</v>
      </c>
    </row>
    <row r="3327" spans="1:6" x14ac:dyDescent="0.25">
      <c r="A3327" t="str">
        <f>"02156997"</f>
        <v>02156997</v>
      </c>
      <c r="B3327" t="s">
        <v>3511</v>
      </c>
      <c r="C3327" t="s">
        <v>7</v>
      </c>
      <c r="D3327" t="str">
        <f t="shared" si="105"/>
        <v>556904</v>
      </c>
      <c r="E3327" t="s">
        <v>2186</v>
      </c>
      <c r="F3327" t="s">
        <v>35</v>
      </c>
    </row>
    <row r="3328" spans="1:6" x14ac:dyDescent="0.25">
      <c r="A3328" t="str">
        <f>"27020436"</f>
        <v>27020436</v>
      </c>
      <c r="B3328" t="s">
        <v>3512</v>
      </c>
      <c r="C3328" t="s">
        <v>7</v>
      </c>
      <c r="D3328" t="str">
        <f t="shared" si="105"/>
        <v>556904</v>
      </c>
      <c r="E3328" t="s">
        <v>2186</v>
      </c>
      <c r="F3328" t="s">
        <v>11</v>
      </c>
    </row>
    <row r="3329" spans="1:6" x14ac:dyDescent="0.25">
      <c r="A3329" t="str">
        <f>"22608184"</f>
        <v>22608184</v>
      </c>
      <c r="B3329" t="s">
        <v>3513</v>
      </c>
      <c r="C3329" t="s">
        <v>7</v>
      </c>
      <c r="D3329" t="str">
        <f t="shared" si="105"/>
        <v>556904</v>
      </c>
      <c r="E3329" t="s">
        <v>2186</v>
      </c>
      <c r="F3329" t="s">
        <v>62</v>
      </c>
    </row>
    <row r="3330" spans="1:6" x14ac:dyDescent="0.25">
      <c r="A3330" t="str">
        <f>"26570220"</f>
        <v>26570220</v>
      </c>
      <c r="B3330" t="s">
        <v>3514</v>
      </c>
      <c r="C3330" t="s">
        <v>7</v>
      </c>
      <c r="D3330" t="str">
        <f t="shared" si="105"/>
        <v>556904</v>
      </c>
      <c r="E3330" t="s">
        <v>2186</v>
      </c>
      <c r="F3330" t="s">
        <v>11</v>
      </c>
    </row>
    <row r="3331" spans="1:6" x14ac:dyDescent="0.25">
      <c r="A3331" t="str">
        <f>"70229791"</f>
        <v>70229791</v>
      </c>
      <c r="B3331" t="s">
        <v>3515</v>
      </c>
      <c r="C3331" t="s">
        <v>7</v>
      </c>
      <c r="D3331" t="str">
        <f t="shared" si="105"/>
        <v>556904</v>
      </c>
      <c r="E3331" t="s">
        <v>2186</v>
      </c>
      <c r="F3331" t="s">
        <v>35</v>
      </c>
    </row>
    <row r="3332" spans="1:6" x14ac:dyDescent="0.25">
      <c r="A3332" t="str">
        <f>"02180669"</f>
        <v>02180669</v>
      </c>
      <c r="B3332" t="s">
        <v>3516</v>
      </c>
      <c r="C3332" t="s">
        <v>7</v>
      </c>
      <c r="D3332" t="str">
        <f t="shared" si="105"/>
        <v>556904</v>
      </c>
      <c r="E3332" t="s">
        <v>2186</v>
      </c>
      <c r="F3332" t="s">
        <v>139</v>
      </c>
    </row>
    <row r="3333" spans="1:6" x14ac:dyDescent="0.25">
      <c r="A3333" t="str">
        <f>"09872329"</f>
        <v>09872329</v>
      </c>
      <c r="B3333" t="s">
        <v>3517</v>
      </c>
      <c r="C3333" t="s">
        <v>7</v>
      </c>
      <c r="D3333" t="str">
        <f t="shared" si="105"/>
        <v>556904</v>
      </c>
      <c r="E3333" t="s">
        <v>2186</v>
      </c>
      <c r="F3333" t="s">
        <v>62</v>
      </c>
    </row>
    <row r="3334" spans="1:6" x14ac:dyDescent="0.25">
      <c r="A3334" t="str">
        <f>"03272478"</f>
        <v>03272478</v>
      </c>
      <c r="B3334" t="s">
        <v>3518</v>
      </c>
      <c r="C3334" t="s">
        <v>7</v>
      </c>
      <c r="D3334" t="str">
        <f t="shared" si="105"/>
        <v>556904</v>
      </c>
      <c r="E3334" t="s">
        <v>2186</v>
      </c>
      <c r="F3334" t="s">
        <v>62</v>
      </c>
    </row>
    <row r="3335" spans="1:6" x14ac:dyDescent="0.25">
      <c r="A3335" t="str">
        <f>"19936656"</f>
        <v>19936656</v>
      </c>
      <c r="B3335" t="s">
        <v>3519</v>
      </c>
      <c r="C3335" t="s">
        <v>7</v>
      </c>
      <c r="D3335" t="str">
        <f t="shared" si="105"/>
        <v>556904</v>
      </c>
      <c r="E3335" t="s">
        <v>2186</v>
      </c>
      <c r="F3335" t="s">
        <v>62</v>
      </c>
    </row>
    <row r="3336" spans="1:6" x14ac:dyDescent="0.25">
      <c r="A3336" t="str">
        <f>"27001032"</f>
        <v>27001032</v>
      </c>
      <c r="B3336" t="s">
        <v>3520</v>
      </c>
      <c r="C3336" t="s">
        <v>7</v>
      </c>
      <c r="D3336" t="str">
        <f t="shared" si="105"/>
        <v>556904</v>
      </c>
      <c r="E3336" t="s">
        <v>2186</v>
      </c>
      <c r="F3336" t="s">
        <v>11</v>
      </c>
    </row>
    <row r="3337" spans="1:6" x14ac:dyDescent="0.25">
      <c r="A3337" t="str">
        <f>"26529874"</f>
        <v>26529874</v>
      </c>
      <c r="B3337" t="s">
        <v>3521</v>
      </c>
      <c r="C3337" t="s">
        <v>7</v>
      </c>
      <c r="D3337" t="str">
        <f t="shared" si="105"/>
        <v>556904</v>
      </c>
      <c r="E3337" t="s">
        <v>2186</v>
      </c>
      <c r="F3337" t="s">
        <v>29</v>
      </c>
    </row>
    <row r="3338" spans="1:6" x14ac:dyDescent="0.25">
      <c r="A3338" t="str">
        <f>"22592580"</f>
        <v>22592580</v>
      </c>
      <c r="B3338" t="s">
        <v>3522</v>
      </c>
      <c r="C3338" t="s">
        <v>7</v>
      </c>
      <c r="D3338" t="str">
        <f t="shared" si="105"/>
        <v>556904</v>
      </c>
      <c r="E3338" t="s">
        <v>2186</v>
      </c>
      <c r="F3338" t="s">
        <v>13</v>
      </c>
    </row>
    <row r="3339" spans="1:6" x14ac:dyDescent="0.25">
      <c r="A3339" t="str">
        <f>"46748903"</f>
        <v>46748903</v>
      </c>
      <c r="B3339" t="s">
        <v>3523</v>
      </c>
      <c r="C3339" t="s">
        <v>15</v>
      </c>
      <c r="D3339" t="str">
        <f t="shared" si="105"/>
        <v>556904</v>
      </c>
      <c r="E3339" t="s">
        <v>2186</v>
      </c>
      <c r="F3339" t="s">
        <v>11</v>
      </c>
    </row>
    <row r="3340" spans="1:6" x14ac:dyDescent="0.25">
      <c r="A3340" t="str">
        <f>"10875387"</f>
        <v>10875387</v>
      </c>
      <c r="B3340" t="s">
        <v>3524</v>
      </c>
      <c r="C3340" t="s">
        <v>7</v>
      </c>
      <c r="D3340" t="str">
        <f t="shared" si="105"/>
        <v>556904</v>
      </c>
      <c r="E3340" t="s">
        <v>2186</v>
      </c>
      <c r="F3340" t="s">
        <v>13</v>
      </c>
    </row>
    <row r="3341" spans="1:6" x14ac:dyDescent="0.25">
      <c r="A3341" t="str">
        <f>"05109442"</f>
        <v>05109442</v>
      </c>
      <c r="B3341" t="s">
        <v>3525</v>
      </c>
      <c r="C3341" t="s">
        <v>7</v>
      </c>
      <c r="D3341" t="str">
        <f t="shared" si="105"/>
        <v>556904</v>
      </c>
      <c r="E3341" t="s">
        <v>2186</v>
      </c>
      <c r="F3341" t="s">
        <v>13</v>
      </c>
    </row>
    <row r="3342" spans="1:6" x14ac:dyDescent="0.25">
      <c r="A3342" t="str">
        <f>"69410887"</f>
        <v>69410887</v>
      </c>
      <c r="B3342" t="s">
        <v>3526</v>
      </c>
      <c r="C3342" t="s">
        <v>7</v>
      </c>
      <c r="D3342" t="str">
        <f t="shared" si="105"/>
        <v>556904</v>
      </c>
      <c r="E3342" t="s">
        <v>2186</v>
      </c>
      <c r="F3342" t="s">
        <v>65</v>
      </c>
    </row>
    <row r="3343" spans="1:6" x14ac:dyDescent="0.25">
      <c r="A3343" t="str">
        <f>"46745165"</f>
        <v>46745165</v>
      </c>
      <c r="B3343" t="s">
        <v>3527</v>
      </c>
      <c r="C3343" t="s">
        <v>7</v>
      </c>
      <c r="D3343" t="str">
        <f t="shared" si="105"/>
        <v>556904</v>
      </c>
      <c r="E3343" t="s">
        <v>2186</v>
      </c>
      <c r="F3343" t="s">
        <v>139</v>
      </c>
    </row>
    <row r="3344" spans="1:6" x14ac:dyDescent="0.25">
      <c r="A3344" t="str">
        <f>"26554241"</f>
        <v>26554241</v>
      </c>
      <c r="B3344" t="s">
        <v>3528</v>
      </c>
      <c r="C3344" t="s">
        <v>7</v>
      </c>
      <c r="D3344" t="str">
        <f t="shared" si="105"/>
        <v>556904</v>
      </c>
      <c r="E3344" t="s">
        <v>2186</v>
      </c>
      <c r="F3344" t="s">
        <v>11</v>
      </c>
    </row>
    <row r="3345" spans="1:6" x14ac:dyDescent="0.25">
      <c r="A3345" t="str">
        <f>"28713044"</f>
        <v>28713044</v>
      </c>
      <c r="B3345" t="s">
        <v>3529</v>
      </c>
      <c r="C3345" t="s">
        <v>78</v>
      </c>
      <c r="D3345" t="str">
        <f t="shared" si="105"/>
        <v>556904</v>
      </c>
      <c r="E3345" t="s">
        <v>2186</v>
      </c>
      <c r="F3345" t="s">
        <v>381</v>
      </c>
    </row>
    <row r="3346" spans="1:6" x14ac:dyDescent="0.25">
      <c r="A3346" t="str">
        <f>"06354823"</f>
        <v>06354823</v>
      </c>
      <c r="B3346" t="s">
        <v>3530</v>
      </c>
      <c r="C3346" t="s">
        <v>7</v>
      </c>
      <c r="D3346" t="str">
        <f t="shared" si="105"/>
        <v>556904</v>
      </c>
      <c r="E3346" t="s">
        <v>2186</v>
      </c>
      <c r="F3346" t="s">
        <v>11</v>
      </c>
    </row>
    <row r="3347" spans="1:6" x14ac:dyDescent="0.25">
      <c r="A3347" t="str">
        <f>"09641815"</f>
        <v>09641815</v>
      </c>
      <c r="B3347" t="s">
        <v>3531</v>
      </c>
      <c r="C3347" t="s">
        <v>7</v>
      </c>
      <c r="D3347" t="str">
        <f t="shared" si="105"/>
        <v>556904</v>
      </c>
      <c r="E3347" t="s">
        <v>2186</v>
      </c>
      <c r="F3347" t="s">
        <v>11</v>
      </c>
    </row>
    <row r="3348" spans="1:6" x14ac:dyDescent="0.25">
      <c r="A3348" t="str">
        <f>"22894675"</f>
        <v>22894675</v>
      </c>
      <c r="B3348" t="s">
        <v>3532</v>
      </c>
      <c r="C3348" t="s">
        <v>20</v>
      </c>
      <c r="D3348" t="str">
        <f t="shared" si="105"/>
        <v>556904</v>
      </c>
      <c r="E3348" t="s">
        <v>2186</v>
      </c>
      <c r="F3348" t="s">
        <v>21</v>
      </c>
    </row>
    <row r="3349" spans="1:6" x14ac:dyDescent="0.25">
      <c r="A3349" t="str">
        <f>"22846760"</f>
        <v>22846760</v>
      </c>
      <c r="B3349" t="s">
        <v>3533</v>
      </c>
      <c r="C3349" t="s">
        <v>7</v>
      </c>
      <c r="D3349" t="str">
        <f t="shared" si="105"/>
        <v>556904</v>
      </c>
      <c r="E3349" t="s">
        <v>2186</v>
      </c>
      <c r="F3349" t="s">
        <v>18</v>
      </c>
    </row>
    <row r="3350" spans="1:6" x14ac:dyDescent="0.25">
      <c r="A3350" t="str">
        <f>"46748245"</f>
        <v>46748245</v>
      </c>
      <c r="B3350" t="s">
        <v>3534</v>
      </c>
      <c r="C3350" t="s">
        <v>7</v>
      </c>
      <c r="D3350" t="str">
        <f t="shared" si="105"/>
        <v>556904</v>
      </c>
      <c r="E3350" t="s">
        <v>2186</v>
      </c>
      <c r="F3350" t="s">
        <v>9</v>
      </c>
    </row>
    <row r="3351" spans="1:6" x14ac:dyDescent="0.25">
      <c r="A3351" t="str">
        <f>"71342290"</f>
        <v>71342290</v>
      </c>
      <c r="B3351" t="s">
        <v>3535</v>
      </c>
      <c r="C3351" t="s">
        <v>779</v>
      </c>
      <c r="D3351" t="str">
        <f t="shared" si="105"/>
        <v>556904</v>
      </c>
      <c r="E3351" t="s">
        <v>2186</v>
      </c>
      <c r="F3351" t="s">
        <v>865</v>
      </c>
    </row>
    <row r="3352" spans="1:6" x14ac:dyDescent="0.25">
      <c r="A3352" t="str">
        <f>"14299381"</f>
        <v>14299381</v>
      </c>
      <c r="B3352" t="s">
        <v>3536</v>
      </c>
      <c r="C3352" t="s">
        <v>7</v>
      </c>
      <c r="D3352" t="str">
        <f t="shared" si="105"/>
        <v>556904</v>
      </c>
      <c r="E3352" t="s">
        <v>2186</v>
      </c>
      <c r="F3352" t="s">
        <v>35</v>
      </c>
    </row>
    <row r="3353" spans="1:6" x14ac:dyDescent="0.25">
      <c r="A3353" t="str">
        <f>"22891889"</f>
        <v>22891889</v>
      </c>
      <c r="B3353" t="s">
        <v>3537</v>
      </c>
      <c r="C3353" t="s">
        <v>7</v>
      </c>
      <c r="D3353" t="str">
        <f t="shared" si="105"/>
        <v>556904</v>
      </c>
      <c r="E3353" t="s">
        <v>2186</v>
      </c>
      <c r="F3353" t="s">
        <v>139</v>
      </c>
    </row>
    <row r="3354" spans="1:6" x14ac:dyDescent="0.25">
      <c r="A3354" t="str">
        <f>"46748181"</f>
        <v>46748181</v>
      </c>
      <c r="B3354" t="s">
        <v>3538</v>
      </c>
      <c r="C3354" t="s">
        <v>7</v>
      </c>
      <c r="D3354" t="str">
        <f t="shared" si="105"/>
        <v>556904</v>
      </c>
      <c r="E3354" t="s">
        <v>2186</v>
      </c>
      <c r="F3354" t="s">
        <v>11</v>
      </c>
    </row>
    <row r="3355" spans="1:6" x14ac:dyDescent="0.25">
      <c r="A3355" t="str">
        <f>"22309772"</f>
        <v>22309772</v>
      </c>
      <c r="B3355" t="s">
        <v>3539</v>
      </c>
      <c r="C3355" t="s">
        <v>7</v>
      </c>
      <c r="D3355" t="str">
        <f t="shared" si="105"/>
        <v>556904</v>
      </c>
      <c r="E3355" t="s">
        <v>2186</v>
      </c>
      <c r="F3355" t="s">
        <v>62</v>
      </c>
    </row>
    <row r="3356" spans="1:6" x14ac:dyDescent="0.25">
      <c r="A3356" t="str">
        <f>"26539071"</f>
        <v>26539071</v>
      </c>
      <c r="B3356" t="s">
        <v>3540</v>
      </c>
      <c r="C3356" t="s">
        <v>7</v>
      </c>
      <c r="D3356" t="str">
        <f t="shared" si="105"/>
        <v>556904</v>
      </c>
      <c r="E3356" t="s">
        <v>2186</v>
      </c>
      <c r="F3356" t="s">
        <v>9</v>
      </c>
    </row>
    <row r="3357" spans="1:6" x14ac:dyDescent="0.25">
      <c r="A3357" t="str">
        <f>"65082745"</f>
        <v>65082745</v>
      </c>
      <c r="B3357" t="s">
        <v>3541</v>
      </c>
      <c r="C3357" t="s">
        <v>7</v>
      </c>
      <c r="D3357" t="str">
        <f t="shared" si="105"/>
        <v>556904</v>
      </c>
      <c r="E3357" t="s">
        <v>2186</v>
      </c>
      <c r="F3357" t="s">
        <v>139</v>
      </c>
    </row>
    <row r="3358" spans="1:6" x14ac:dyDescent="0.25">
      <c r="A3358" t="str">
        <f>"09023674"</f>
        <v>09023674</v>
      </c>
      <c r="B3358" t="s">
        <v>3542</v>
      </c>
      <c r="C3358" t="s">
        <v>7</v>
      </c>
      <c r="D3358" t="str">
        <f t="shared" si="105"/>
        <v>556904</v>
      </c>
      <c r="E3358" t="s">
        <v>2186</v>
      </c>
      <c r="F3358" t="s">
        <v>11</v>
      </c>
    </row>
    <row r="3359" spans="1:6" x14ac:dyDescent="0.25">
      <c r="A3359" t="str">
        <f>"64039447"</f>
        <v>64039447</v>
      </c>
      <c r="B3359" t="s">
        <v>3543</v>
      </c>
      <c r="C3359" t="s">
        <v>15</v>
      </c>
      <c r="D3359" t="str">
        <f t="shared" si="105"/>
        <v>556904</v>
      </c>
      <c r="E3359" t="s">
        <v>2186</v>
      </c>
      <c r="F3359" t="s">
        <v>11</v>
      </c>
    </row>
    <row r="3360" spans="1:6" x14ac:dyDescent="0.25">
      <c r="A3360" t="str">
        <f>"46749691"</f>
        <v>46749691</v>
      </c>
      <c r="B3360" t="s">
        <v>3544</v>
      </c>
      <c r="C3360" t="s">
        <v>7</v>
      </c>
      <c r="D3360" t="str">
        <f t="shared" si="105"/>
        <v>556904</v>
      </c>
      <c r="E3360" t="s">
        <v>2186</v>
      </c>
      <c r="F3360" t="s">
        <v>11</v>
      </c>
    </row>
    <row r="3361" spans="1:6" x14ac:dyDescent="0.25">
      <c r="A3361" t="str">
        <f>"06059651"</f>
        <v>06059651</v>
      </c>
      <c r="B3361" t="s">
        <v>3545</v>
      </c>
      <c r="C3361" t="s">
        <v>15</v>
      </c>
      <c r="D3361" t="str">
        <f t="shared" si="105"/>
        <v>556904</v>
      </c>
      <c r="E3361" t="s">
        <v>2186</v>
      </c>
      <c r="F3361" t="s">
        <v>137</v>
      </c>
    </row>
    <row r="3362" spans="1:6" x14ac:dyDescent="0.25">
      <c r="A3362" t="str">
        <f>"70898308"</f>
        <v>70898308</v>
      </c>
      <c r="B3362" t="s">
        <v>3546</v>
      </c>
      <c r="C3362" t="s">
        <v>15</v>
      </c>
      <c r="D3362" t="str">
        <f t="shared" si="105"/>
        <v>556904</v>
      </c>
      <c r="E3362" t="s">
        <v>2186</v>
      </c>
      <c r="F3362" t="s">
        <v>137</v>
      </c>
    </row>
    <row r="3363" spans="1:6" x14ac:dyDescent="0.25">
      <c r="A3363" t="str">
        <f>"46749055"</f>
        <v>46749055</v>
      </c>
      <c r="B3363" t="s">
        <v>3547</v>
      </c>
      <c r="C3363" t="s">
        <v>15</v>
      </c>
      <c r="D3363" t="str">
        <f t="shared" si="105"/>
        <v>556904</v>
      </c>
      <c r="E3363" t="s">
        <v>2186</v>
      </c>
      <c r="F3363" t="s">
        <v>137</v>
      </c>
    </row>
    <row r="3364" spans="1:6" x14ac:dyDescent="0.25">
      <c r="A3364" t="str">
        <f>"69291926"</f>
        <v>69291926</v>
      </c>
      <c r="B3364" t="s">
        <v>3548</v>
      </c>
      <c r="C3364" t="s">
        <v>15</v>
      </c>
      <c r="D3364" t="str">
        <f t="shared" si="105"/>
        <v>556904</v>
      </c>
      <c r="E3364" t="s">
        <v>2186</v>
      </c>
      <c r="F3364" t="s">
        <v>137</v>
      </c>
    </row>
    <row r="3365" spans="1:6" x14ac:dyDescent="0.25">
      <c r="A3365" t="str">
        <f>"69291314"</f>
        <v>69291314</v>
      </c>
      <c r="B3365" t="s">
        <v>3549</v>
      </c>
      <c r="C3365" t="s">
        <v>15</v>
      </c>
      <c r="D3365" t="str">
        <f t="shared" si="105"/>
        <v>556904</v>
      </c>
      <c r="E3365" t="s">
        <v>2186</v>
      </c>
      <c r="F3365" t="s">
        <v>137</v>
      </c>
    </row>
    <row r="3366" spans="1:6" x14ac:dyDescent="0.25">
      <c r="A3366" t="str">
        <f>"07188188"</f>
        <v>07188188</v>
      </c>
      <c r="B3366" t="s">
        <v>3550</v>
      </c>
      <c r="C3366" t="s">
        <v>7</v>
      </c>
      <c r="D3366" t="str">
        <f t="shared" si="105"/>
        <v>556904</v>
      </c>
      <c r="E3366" t="s">
        <v>2186</v>
      </c>
      <c r="F3366" t="s">
        <v>137</v>
      </c>
    </row>
    <row r="3367" spans="1:6" x14ac:dyDescent="0.25">
      <c r="A3367" t="str">
        <f>"69898227"</f>
        <v>69898227</v>
      </c>
      <c r="B3367" t="s">
        <v>3551</v>
      </c>
      <c r="C3367" t="s">
        <v>7</v>
      </c>
      <c r="D3367" t="str">
        <f t="shared" si="105"/>
        <v>556904</v>
      </c>
      <c r="E3367" t="s">
        <v>2186</v>
      </c>
      <c r="F3367" t="s">
        <v>254</v>
      </c>
    </row>
    <row r="3368" spans="1:6" x14ac:dyDescent="0.25">
      <c r="A3368" t="str">
        <f>"68974434"</f>
        <v>68974434</v>
      </c>
      <c r="B3368" t="s">
        <v>3552</v>
      </c>
      <c r="C3368" t="s">
        <v>7</v>
      </c>
      <c r="D3368" t="str">
        <f t="shared" ref="D3368:D3431" si="106">"556904"</f>
        <v>556904</v>
      </c>
      <c r="E3368" t="s">
        <v>2186</v>
      </c>
      <c r="F3368" t="s">
        <v>254</v>
      </c>
    </row>
    <row r="3369" spans="1:6" x14ac:dyDescent="0.25">
      <c r="A3369" t="str">
        <f>"68435398"</f>
        <v>68435398</v>
      </c>
      <c r="B3369" t="s">
        <v>3553</v>
      </c>
      <c r="C3369" t="s">
        <v>7</v>
      </c>
      <c r="D3369" t="str">
        <f t="shared" si="106"/>
        <v>556904</v>
      </c>
      <c r="E3369" t="s">
        <v>2186</v>
      </c>
      <c r="F3369" t="s">
        <v>254</v>
      </c>
    </row>
    <row r="3370" spans="1:6" x14ac:dyDescent="0.25">
      <c r="A3370" t="str">
        <f>"26578514"</f>
        <v>26578514</v>
      </c>
      <c r="B3370" t="s">
        <v>3554</v>
      </c>
      <c r="C3370" t="s">
        <v>7</v>
      </c>
      <c r="D3370" t="str">
        <f t="shared" si="106"/>
        <v>556904</v>
      </c>
      <c r="E3370" t="s">
        <v>2186</v>
      </c>
      <c r="F3370" t="s">
        <v>11</v>
      </c>
    </row>
    <row r="3371" spans="1:6" x14ac:dyDescent="0.25">
      <c r="A3371" t="str">
        <f>"68974990"</f>
        <v>68974990</v>
      </c>
      <c r="B3371" t="s">
        <v>3555</v>
      </c>
      <c r="C3371" t="s">
        <v>7</v>
      </c>
      <c r="D3371" t="str">
        <f t="shared" si="106"/>
        <v>556904</v>
      </c>
      <c r="E3371" t="s">
        <v>2186</v>
      </c>
      <c r="F3371" t="s">
        <v>11</v>
      </c>
    </row>
    <row r="3372" spans="1:6" x14ac:dyDescent="0.25">
      <c r="A3372" t="str">
        <f>"22257900"</f>
        <v>22257900</v>
      </c>
      <c r="B3372" t="s">
        <v>3556</v>
      </c>
      <c r="C3372" t="s">
        <v>7</v>
      </c>
      <c r="D3372" t="str">
        <f t="shared" si="106"/>
        <v>556904</v>
      </c>
      <c r="E3372" t="s">
        <v>2186</v>
      </c>
      <c r="F3372" t="s">
        <v>11</v>
      </c>
    </row>
    <row r="3373" spans="1:6" x14ac:dyDescent="0.25">
      <c r="A3373" t="str">
        <f>"72755229"</f>
        <v>72755229</v>
      </c>
      <c r="B3373" t="s">
        <v>3557</v>
      </c>
      <c r="C3373" t="s">
        <v>15</v>
      </c>
      <c r="D3373" t="str">
        <f t="shared" si="106"/>
        <v>556904</v>
      </c>
      <c r="E3373" t="s">
        <v>2186</v>
      </c>
      <c r="F3373" t="s">
        <v>389</v>
      </c>
    </row>
    <row r="3374" spans="1:6" x14ac:dyDescent="0.25">
      <c r="A3374" t="str">
        <f>"22883398"</f>
        <v>22883398</v>
      </c>
      <c r="B3374" t="s">
        <v>3558</v>
      </c>
      <c r="C3374" t="s">
        <v>7</v>
      </c>
      <c r="D3374" t="str">
        <f t="shared" si="106"/>
        <v>556904</v>
      </c>
      <c r="E3374" t="s">
        <v>2186</v>
      </c>
      <c r="F3374" t="s">
        <v>18</v>
      </c>
    </row>
    <row r="3375" spans="1:6" x14ac:dyDescent="0.25">
      <c r="A3375" t="str">
        <f>"02131170"</f>
        <v>02131170</v>
      </c>
      <c r="B3375" t="s">
        <v>3559</v>
      </c>
      <c r="C3375" t="s">
        <v>7</v>
      </c>
      <c r="D3375" t="str">
        <f t="shared" si="106"/>
        <v>556904</v>
      </c>
      <c r="E3375" t="s">
        <v>2186</v>
      </c>
      <c r="F3375" t="s">
        <v>11</v>
      </c>
    </row>
    <row r="3376" spans="1:6" x14ac:dyDescent="0.25">
      <c r="A3376" t="str">
        <f>"06108482"</f>
        <v>06108482</v>
      </c>
      <c r="B3376" t="s">
        <v>3560</v>
      </c>
      <c r="C3376" t="s">
        <v>7</v>
      </c>
      <c r="D3376" t="str">
        <f t="shared" si="106"/>
        <v>556904</v>
      </c>
      <c r="E3376" t="s">
        <v>2186</v>
      </c>
      <c r="F3376" t="s">
        <v>18</v>
      </c>
    </row>
    <row r="3377" spans="1:6" x14ac:dyDescent="0.25">
      <c r="A3377" t="str">
        <f>"02323877"</f>
        <v>02323877</v>
      </c>
      <c r="B3377" t="s">
        <v>3561</v>
      </c>
      <c r="C3377" t="s">
        <v>7</v>
      </c>
      <c r="D3377" t="str">
        <f t="shared" si="106"/>
        <v>556904</v>
      </c>
      <c r="E3377" t="s">
        <v>2186</v>
      </c>
      <c r="F3377" t="s">
        <v>11</v>
      </c>
    </row>
    <row r="3378" spans="1:6" x14ac:dyDescent="0.25">
      <c r="A3378" t="str">
        <f>"65100492"</f>
        <v>65100492</v>
      </c>
      <c r="B3378" t="s">
        <v>3562</v>
      </c>
      <c r="C3378" t="s">
        <v>7</v>
      </c>
      <c r="D3378" t="str">
        <f t="shared" si="106"/>
        <v>556904</v>
      </c>
      <c r="E3378" t="s">
        <v>2186</v>
      </c>
      <c r="F3378" t="s">
        <v>9</v>
      </c>
    </row>
    <row r="3379" spans="1:6" x14ac:dyDescent="0.25">
      <c r="A3379" t="str">
        <f>"05976464"</f>
        <v>05976464</v>
      </c>
      <c r="B3379" t="s">
        <v>3563</v>
      </c>
      <c r="C3379" t="s">
        <v>7</v>
      </c>
      <c r="D3379" t="str">
        <f t="shared" si="106"/>
        <v>556904</v>
      </c>
      <c r="E3379" t="s">
        <v>2186</v>
      </c>
      <c r="F3379" t="s">
        <v>62</v>
      </c>
    </row>
    <row r="3380" spans="1:6" x14ac:dyDescent="0.25">
      <c r="A3380" t="str">
        <f>"05065551"</f>
        <v>05065551</v>
      </c>
      <c r="B3380" t="s">
        <v>3564</v>
      </c>
      <c r="C3380" t="s">
        <v>15</v>
      </c>
      <c r="D3380" t="str">
        <f t="shared" si="106"/>
        <v>556904</v>
      </c>
      <c r="E3380" t="s">
        <v>2186</v>
      </c>
      <c r="F3380" t="s">
        <v>65</v>
      </c>
    </row>
    <row r="3381" spans="1:6" x14ac:dyDescent="0.25">
      <c r="A3381" t="str">
        <f>"22715436"</f>
        <v>22715436</v>
      </c>
      <c r="B3381" t="s">
        <v>3565</v>
      </c>
      <c r="C3381" t="s">
        <v>7</v>
      </c>
      <c r="D3381" t="str">
        <f t="shared" si="106"/>
        <v>556904</v>
      </c>
      <c r="E3381" t="s">
        <v>2186</v>
      </c>
      <c r="F3381" t="s">
        <v>62</v>
      </c>
    </row>
    <row r="3382" spans="1:6" x14ac:dyDescent="0.25">
      <c r="A3382" t="str">
        <f>"70853452"</f>
        <v>70853452</v>
      </c>
      <c r="B3382" t="s">
        <v>3566</v>
      </c>
      <c r="C3382" t="s">
        <v>7</v>
      </c>
      <c r="D3382" t="str">
        <f t="shared" si="106"/>
        <v>556904</v>
      </c>
      <c r="E3382" t="s">
        <v>2186</v>
      </c>
      <c r="F3382" t="s">
        <v>65</v>
      </c>
    </row>
    <row r="3383" spans="1:6" x14ac:dyDescent="0.25">
      <c r="A3383" t="str">
        <f>"07948735"</f>
        <v>07948735</v>
      </c>
      <c r="B3383" t="s">
        <v>3567</v>
      </c>
      <c r="C3383" t="s">
        <v>7</v>
      </c>
      <c r="D3383" t="str">
        <f t="shared" si="106"/>
        <v>556904</v>
      </c>
      <c r="E3383" t="s">
        <v>2186</v>
      </c>
      <c r="F3383" t="s">
        <v>35</v>
      </c>
    </row>
    <row r="3384" spans="1:6" x14ac:dyDescent="0.25">
      <c r="A3384" t="str">
        <f>"09503544"</f>
        <v>09503544</v>
      </c>
      <c r="B3384" t="s">
        <v>3568</v>
      </c>
      <c r="C3384" t="s">
        <v>7</v>
      </c>
      <c r="D3384" t="str">
        <f t="shared" si="106"/>
        <v>556904</v>
      </c>
      <c r="E3384" t="s">
        <v>2186</v>
      </c>
      <c r="F3384" t="s">
        <v>139</v>
      </c>
    </row>
    <row r="3385" spans="1:6" x14ac:dyDescent="0.25">
      <c r="A3385" t="str">
        <f>"06367097"</f>
        <v>06367097</v>
      </c>
      <c r="B3385" t="s">
        <v>3569</v>
      </c>
      <c r="C3385" t="s">
        <v>7</v>
      </c>
      <c r="D3385" t="str">
        <f t="shared" si="106"/>
        <v>556904</v>
      </c>
      <c r="E3385" t="s">
        <v>2186</v>
      </c>
      <c r="F3385" t="s">
        <v>139</v>
      </c>
    </row>
    <row r="3386" spans="1:6" x14ac:dyDescent="0.25">
      <c r="A3386" t="str">
        <f>"66113342"</f>
        <v>66113342</v>
      </c>
      <c r="B3386" t="s">
        <v>3570</v>
      </c>
      <c r="C3386" t="s">
        <v>15</v>
      </c>
      <c r="D3386" t="str">
        <f t="shared" si="106"/>
        <v>556904</v>
      </c>
      <c r="E3386" t="s">
        <v>2186</v>
      </c>
      <c r="F3386" t="s">
        <v>9</v>
      </c>
    </row>
    <row r="3387" spans="1:6" x14ac:dyDescent="0.25">
      <c r="A3387" t="str">
        <f>"02724316"</f>
        <v>02724316</v>
      </c>
      <c r="B3387" t="s">
        <v>3571</v>
      </c>
      <c r="C3387" t="s">
        <v>7</v>
      </c>
      <c r="D3387" t="str">
        <f t="shared" si="106"/>
        <v>556904</v>
      </c>
      <c r="E3387" t="s">
        <v>2186</v>
      </c>
      <c r="F3387" t="s">
        <v>29</v>
      </c>
    </row>
    <row r="3388" spans="1:6" x14ac:dyDescent="0.25">
      <c r="A3388" t="str">
        <f>"07929919"</f>
        <v>07929919</v>
      </c>
      <c r="B3388" t="s">
        <v>3572</v>
      </c>
      <c r="C3388" t="s">
        <v>7</v>
      </c>
      <c r="D3388" t="str">
        <f t="shared" si="106"/>
        <v>556904</v>
      </c>
      <c r="E3388" t="s">
        <v>2186</v>
      </c>
      <c r="F3388" t="s">
        <v>139</v>
      </c>
    </row>
    <row r="3389" spans="1:6" x14ac:dyDescent="0.25">
      <c r="A3389" t="str">
        <f>"49296396"</f>
        <v>49296396</v>
      </c>
      <c r="B3389" t="s">
        <v>3573</v>
      </c>
      <c r="C3389" t="s">
        <v>7</v>
      </c>
      <c r="D3389" t="str">
        <f t="shared" si="106"/>
        <v>556904</v>
      </c>
      <c r="E3389" t="s">
        <v>2186</v>
      </c>
      <c r="F3389" t="s">
        <v>11</v>
      </c>
    </row>
    <row r="3390" spans="1:6" x14ac:dyDescent="0.25">
      <c r="A3390" t="str">
        <f>"18020992"</f>
        <v>18020992</v>
      </c>
      <c r="B3390" t="s">
        <v>3574</v>
      </c>
      <c r="C3390" t="s">
        <v>7</v>
      </c>
      <c r="D3390" t="str">
        <f t="shared" si="106"/>
        <v>556904</v>
      </c>
      <c r="E3390" t="s">
        <v>2186</v>
      </c>
      <c r="F3390" t="s">
        <v>328</v>
      </c>
    </row>
    <row r="3391" spans="1:6" x14ac:dyDescent="0.25">
      <c r="A3391" t="str">
        <f>"66109876"</f>
        <v>66109876</v>
      </c>
      <c r="B3391" t="s">
        <v>3575</v>
      </c>
      <c r="C3391" t="s">
        <v>7</v>
      </c>
      <c r="D3391" t="str">
        <f t="shared" si="106"/>
        <v>556904</v>
      </c>
      <c r="E3391" t="s">
        <v>2186</v>
      </c>
      <c r="F3391" t="s">
        <v>62</v>
      </c>
    </row>
    <row r="3392" spans="1:6" x14ac:dyDescent="0.25">
      <c r="A3392" t="str">
        <f>"66109884"</f>
        <v>66109884</v>
      </c>
      <c r="B3392" t="s">
        <v>3576</v>
      </c>
      <c r="C3392" t="s">
        <v>7</v>
      </c>
      <c r="D3392" t="str">
        <f t="shared" si="106"/>
        <v>556904</v>
      </c>
      <c r="E3392" t="s">
        <v>2186</v>
      </c>
      <c r="F3392" t="s">
        <v>35</v>
      </c>
    </row>
    <row r="3393" spans="1:6" x14ac:dyDescent="0.25">
      <c r="A3393" t="str">
        <f>"06737811"</f>
        <v>06737811</v>
      </c>
      <c r="B3393" t="s">
        <v>3577</v>
      </c>
      <c r="C3393" t="s">
        <v>7</v>
      </c>
      <c r="D3393" t="str">
        <f t="shared" si="106"/>
        <v>556904</v>
      </c>
      <c r="E3393" t="s">
        <v>2186</v>
      </c>
      <c r="F3393" t="s">
        <v>35</v>
      </c>
    </row>
    <row r="3394" spans="1:6" x14ac:dyDescent="0.25">
      <c r="A3394" t="str">
        <f>"69387940"</f>
        <v>69387940</v>
      </c>
      <c r="B3394" t="s">
        <v>3578</v>
      </c>
      <c r="C3394" t="s">
        <v>7</v>
      </c>
      <c r="D3394" t="str">
        <f t="shared" si="106"/>
        <v>556904</v>
      </c>
      <c r="E3394" t="s">
        <v>2186</v>
      </c>
      <c r="F3394" t="s">
        <v>35</v>
      </c>
    </row>
    <row r="3395" spans="1:6" x14ac:dyDescent="0.25">
      <c r="A3395" t="str">
        <f>"02826615"</f>
        <v>02826615</v>
      </c>
      <c r="B3395" t="s">
        <v>3579</v>
      </c>
      <c r="C3395" t="s">
        <v>7</v>
      </c>
      <c r="D3395" t="str">
        <f t="shared" si="106"/>
        <v>556904</v>
      </c>
      <c r="E3395" t="s">
        <v>2186</v>
      </c>
      <c r="F3395" t="s">
        <v>2579</v>
      </c>
    </row>
    <row r="3396" spans="1:6" x14ac:dyDescent="0.25">
      <c r="A3396" t="str">
        <f>"02443589"</f>
        <v>02443589</v>
      </c>
      <c r="B3396" t="s">
        <v>3580</v>
      </c>
      <c r="C3396" t="s">
        <v>7</v>
      </c>
      <c r="D3396" t="str">
        <f t="shared" si="106"/>
        <v>556904</v>
      </c>
      <c r="E3396" t="s">
        <v>2186</v>
      </c>
      <c r="F3396" t="s">
        <v>9</v>
      </c>
    </row>
    <row r="3397" spans="1:6" x14ac:dyDescent="0.25">
      <c r="A3397" t="str">
        <f>"10832891"</f>
        <v>10832891</v>
      </c>
      <c r="B3397" t="s">
        <v>3581</v>
      </c>
      <c r="C3397" t="s">
        <v>7</v>
      </c>
      <c r="D3397" t="str">
        <f t="shared" si="106"/>
        <v>556904</v>
      </c>
      <c r="E3397" t="s">
        <v>2186</v>
      </c>
      <c r="F3397" t="s">
        <v>11</v>
      </c>
    </row>
    <row r="3398" spans="1:6" x14ac:dyDescent="0.25">
      <c r="A3398" t="str">
        <f>"44225024"</f>
        <v>44225024</v>
      </c>
      <c r="B3398" t="s">
        <v>3582</v>
      </c>
      <c r="C3398" t="s">
        <v>15</v>
      </c>
      <c r="D3398" t="str">
        <f t="shared" si="106"/>
        <v>556904</v>
      </c>
      <c r="E3398" t="s">
        <v>2186</v>
      </c>
      <c r="F3398" t="s">
        <v>9</v>
      </c>
    </row>
    <row r="3399" spans="1:6" x14ac:dyDescent="0.25">
      <c r="A3399" t="str">
        <f>"44224745"</f>
        <v>44224745</v>
      </c>
      <c r="B3399" t="s">
        <v>3583</v>
      </c>
      <c r="C3399" t="s">
        <v>15</v>
      </c>
      <c r="D3399" t="str">
        <f t="shared" si="106"/>
        <v>556904</v>
      </c>
      <c r="E3399" t="s">
        <v>2186</v>
      </c>
      <c r="F3399" t="s">
        <v>9</v>
      </c>
    </row>
    <row r="3400" spans="1:6" x14ac:dyDescent="0.25">
      <c r="A3400" t="str">
        <f>"44225008"</f>
        <v>44225008</v>
      </c>
      <c r="B3400" t="s">
        <v>3584</v>
      </c>
      <c r="C3400" t="s">
        <v>15</v>
      </c>
      <c r="D3400" t="str">
        <f t="shared" si="106"/>
        <v>556904</v>
      </c>
      <c r="E3400" t="s">
        <v>2186</v>
      </c>
      <c r="F3400" t="s">
        <v>9</v>
      </c>
    </row>
    <row r="3401" spans="1:6" x14ac:dyDescent="0.25">
      <c r="A3401" t="str">
        <f>"46744282"</f>
        <v>46744282</v>
      </c>
      <c r="B3401" t="s">
        <v>3585</v>
      </c>
      <c r="C3401" t="s">
        <v>7</v>
      </c>
      <c r="D3401" t="str">
        <f t="shared" si="106"/>
        <v>556904</v>
      </c>
      <c r="E3401" t="s">
        <v>2186</v>
      </c>
      <c r="F3401" t="s">
        <v>9</v>
      </c>
    </row>
    <row r="3402" spans="1:6" x14ac:dyDescent="0.25">
      <c r="A3402" t="str">
        <f>"46747761"</f>
        <v>46747761</v>
      </c>
      <c r="B3402" t="s">
        <v>3586</v>
      </c>
      <c r="C3402" t="s">
        <v>7</v>
      </c>
      <c r="D3402" t="str">
        <f t="shared" si="106"/>
        <v>556904</v>
      </c>
      <c r="E3402" t="s">
        <v>2186</v>
      </c>
      <c r="F3402" t="s">
        <v>9</v>
      </c>
    </row>
    <row r="3403" spans="1:6" x14ac:dyDescent="0.25">
      <c r="A3403" t="str">
        <f>"46747176"</f>
        <v>46747176</v>
      </c>
      <c r="B3403" t="s">
        <v>3587</v>
      </c>
      <c r="C3403" t="s">
        <v>7</v>
      </c>
      <c r="D3403" t="str">
        <f t="shared" si="106"/>
        <v>556904</v>
      </c>
      <c r="E3403" t="s">
        <v>2186</v>
      </c>
      <c r="F3403" t="s">
        <v>9</v>
      </c>
    </row>
    <row r="3404" spans="1:6" x14ac:dyDescent="0.25">
      <c r="A3404" t="str">
        <f>"46747923"</f>
        <v>46747923</v>
      </c>
      <c r="B3404" t="s">
        <v>3588</v>
      </c>
      <c r="C3404" t="s">
        <v>7</v>
      </c>
      <c r="D3404" t="str">
        <f t="shared" si="106"/>
        <v>556904</v>
      </c>
      <c r="E3404" t="s">
        <v>2186</v>
      </c>
      <c r="F3404" t="s">
        <v>9</v>
      </c>
    </row>
    <row r="3405" spans="1:6" x14ac:dyDescent="0.25">
      <c r="A3405" t="str">
        <f>"46745033"</f>
        <v>46745033</v>
      </c>
      <c r="B3405" t="s">
        <v>3589</v>
      </c>
      <c r="C3405" t="s">
        <v>7</v>
      </c>
      <c r="D3405" t="str">
        <f t="shared" si="106"/>
        <v>556904</v>
      </c>
      <c r="E3405" t="s">
        <v>2186</v>
      </c>
      <c r="F3405" t="s">
        <v>9</v>
      </c>
    </row>
    <row r="3406" spans="1:6" x14ac:dyDescent="0.25">
      <c r="A3406" t="str">
        <f>"00483371"</f>
        <v>00483371</v>
      </c>
      <c r="B3406" t="s">
        <v>3590</v>
      </c>
      <c r="C3406" t="s">
        <v>7</v>
      </c>
      <c r="D3406" t="str">
        <f t="shared" si="106"/>
        <v>556904</v>
      </c>
      <c r="E3406" t="s">
        <v>2186</v>
      </c>
      <c r="F3406" t="s">
        <v>9</v>
      </c>
    </row>
    <row r="3407" spans="1:6" x14ac:dyDescent="0.25">
      <c r="A3407" t="str">
        <f>"46744789"</f>
        <v>46744789</v>
      </c>
      <c r="B3407" t="s">
        <v>3591</v>
      </c>
      <c r="C3407" t="s">
        <v>7</v>
      </c>
      <c r="D3407" t="str">
        <f t="shared" si="106"/>
        <v>556904</v>
      </c>
      <c r="E3407" t="s">
        <v>2186</v>
      </c>
      <c r="F3407" t="s">
        <v>9</v>
      </c>
    </row>
    <row r="3408" spans="1:6" x14ac:dyDescent="0.25">
      <c r="A3408" t="str">
        <f>"46747389"</f>
        <v>46747389</v>
      </c>
      <c r="B3408" t="s">
        <v>3592</v>
      </c>
      <c r="C3408" t="s">
        <v>7</v>
      </c>
      <c r="D3408" t="str">
        <f t="shared" si="106"/>
        <v>556904</v>
      </c>
      <c r="E3408" t="s">
        <v>2186</v>
      </c>
      <c r="F3408" t="s">
        <v>9</v>
      </c>
    </row>
    <row r="3409" spans="1:6" x14ac:dyDescent="0.25">
      <c r="A3409" t="str">
        <f>"00524981"</f>
        <v>00524981</v>
      </c>
      <c r="B3409" t="s">
        <v>3593</v>
      </c>
      <c r="C3409" t="s">
        <v>7</v>
      </c>
      <c r="D3409" t="str">
        <f t="shared" si="106"/>
        <v>556904</v>
      </c>
      <c r="E3409" t="s">
        <v>2186</v>
      </c>
      <c r="F3409" t="s">
        <v>35</v>
      </c>
    </row>
    <row r="3410" spans="1:6" x14ac:dyDescent="0.25">
      <c r="A3410" t="str">
        <f>"46744151"</f>
        <v>46744151</v>
      </c>
      <c r="B3410" t="s">
        <v>3594</v>
      </c>
      <c r="C3410" t="s">
        <v>7</v>
      </c>
      <c r="D3410" t="str">
        <f t="shared" si="106"/>
        <v>556904</v>
      </c>
      <c r="E3410" t="s">
        <v>2186</v>
      </c>
      <c r="F3410" t="s">
        <v>9</v>
      </c>
    </row>
    <row r="3411" spans="1:6" x14ac:dyDescent="0.25">
      <c r="A3411" t="str">
        <f>"46746692"</f>
        <v>46746692</v>
      </c>
      <c r="B3411" t="s">
        <v>3595</v>
      </c>
      <c r="C3411" t="s">
        <v>7</v>
      </c>
      <c r="D3411" t="str">
        <f t="shared" si="106"/>
        <v>556904</v>
      </c>
      <c r="E3411" t="s">
        <v>2186</v>
      </c>
      <c r="F3411" t="s">
        <v>9</v>
      </c>
    </row>
    <row r="3412" spans="1:6" x14ac:dyDescent="0.25">
      <c r="A3412" t="str">
        <f>"09859390"</f>
        <v>09859390</v>
      </c>
      <c r="B3412" t="s">
        <v>3596</v>
      </c>
      <c r="C3412" t="s">
        <v>7</v>
      </c>
      <c r="D3412" t="str">
        <f t="shared" si="106"/>
        <v>556904</v>
      </c>
      <c r="E3412" t="s">
        <v>2186</v>
      </c>
      <c r="F3412" t="s">
        <v>9</v>
      </c>
    </row>
    <row r="3413" spans="1:6" x14ac:dyDescent="0.25">
      <c r="A3413" t="str">
        <f>"17552567"</f>
        <v>17552567</v>
      </c>
      <c r="B3413" t="s">
        <v>3597</v>
      </c>
      <c r="C3413" t="s">
        <v>7</v>
      </c>
      <c r="D3413" t="str">
        <f t="shared" si="106"/>
        <v>556904</v>
      </c>
      <c r="E3413" t="s">
        <v>2186</v>
      </c>
      <c r="F3413" t="s">
        <v>62</v>
      </c>
    </row>
    <row r="3414" spans="1:6" x14ac:dyDescent="0.25">
      <c r="A3414" t="str">
        <f>"46747958"</f>
        <v>46747958</v>
      </c>
      <c r="B3414" t="s">
        <v>3598</v>
      </c>
      <c r="C3414" t="s">
        <v>7</v>
      </c>
      <c r="D3414" t="str">
        <f t="shared" si="106"/>
        <v>556904</v>
      </c>
      <c r="E3414" t="s">
        <v>2186</v>
      </c>
      <c r="F3414" t="s">
        <v>9</v>
      </c>
    </row>
    <row r="3415" spans="1:6" x14ac:dyDescent="0.25">
      <c r="A3415" t="str">
        <f>"22316353"</f>
        <v>22316353</v>
      </c>
      <c r="B3415" t="s">
        <v>3599</v>
      </c>
      <c r="C3415" t="s">
        <v>7</v>
      </c>
      <c r="D3415" t="str">
        <f t="shared" si="106"/>
        <v>556904</v>
      </c>
      <c r="E3415" t="s">
        <v>2186</v>
      </c>
      <c r="F3415" t="s">
        <v>35</v>
      </c>
    </row>
    <row r="3416" spans="1:6" x14ac:dyDescent="0.25">
      <c r="A3416" t="str">
        <f>"69410666"</f>
        <v>69410666</v>
      </c>
      <c r="B3416" t="s">
        <v>3600</v>
      </c>
      <c r="C3416" t="s">
        <v>7</v>
      </c>
      <c r="D3416" t="str">
        <f t="shared" si="106"/>
        <v>556904</v>
      </c>
      <c r="E3416" t="s">
        <v>2186</v>
      </c>
      <c r="F3416" t="s">
        <v>35</v>
      </c>
    </row>
    <row r="3417" spans="1:6" x14ac:dyDescent="0.25">
      <c r="A3417" t="str">
        <f>"10717978"</f>
        <v>10717978</v>
      </c>
      <c r="B3417" t="s">
        <v>3601</v>
      </c>
      <c r="C3417" t="s">
        <v>7</v>
      </c>
      <c r="D3417" t="str">
        <f t="shared" si="106"/>
        <v>556904</v>
      </c>
      <c r="E3417" t="s">
        <v>2186</v>
      </c>
      <c r="F3417" t="s">
        <v>62</v>
      </c>
    </row>
    <row r="3418" spans="1:6" x14ac:dyDescent="0.25">
      <c r="A3418" t="str">
        <f>"46746803"</f>
        <v>46746803</v>
      </c>
      <c r="B3418" t="s">
        <v>3602</v>
      </c>
      <c r="C3418" t="s">
        <v>7</v>
      </c>
      <c r="D3418" t="str">
        <f t="shared" si="106"/>
        <v>556904</v>
      </c>
      <c r="E3418" t="s">
        <v>2186</v>
      </c>
      <c r="F3418" t="s">
        <v>9</v>
      </c>
    </row>
    <row r="3419" spans="1:6" x14ac:dyDescent="0.25">
      <c r="A3419" t="str">
        <f>"22887741"</f>
        <v>22887741</v>
      </c>
      <c r="B3419" t="s">
        <v>3603</v>
      </c>
      <c r="C3419" t="s">
        <v>7</v>
      </c>
      <c r="D3419" t="str">
        <f t="shared" si="106"/>
        <v>556904</v>
      </c>
      <c r="E3419" t="s">
        <v>2186</v>
      </c>
      <c r="F3419" t="s">
        <v>11</v>
      </c>
    </row>
    <row r="3420" spans="1:6" x14ac:dyDescent="0.25">
      <c r="A3420" t="str">
        <f>"06854524"</f>
        <v>06854524</v>
      </c>
      <c r="B3420" t="s">
        <v>3604</v>
      </c>
      <c r="C3420" t="s">
        <v>7</v>
      </c>
      <c r="D3420" t="str">
        <f t="shared" si="106"/>
        <v>556904</v>
      </c>
      <c r="E3420" t="s">
        <v>2186</v>
      </c>
      <c r="F3420" t="s">
        <v>1096</v>
      </c>
    </row>
    <row r="3421" spans="1:6" x14ac:dyDescent="0.25">
      <c r="A3421" t="str">
        <f>"26596938"</f>
        <v>26596938</v>
      </c>
      <c r="B3421" t="s">
        <v>3605</v>
      </c>
      <c r="C3421" t="s">
        <v>7</v>
      </c>
      <c r="D3421" t="str">
        <f t="shared" si="106"/>
        <v>556904</v>
      </c>
      <c r="E3421" t="s">
        <v>2186</v>
      </c>
      <c r="F3421" t="s">
        <v>1096</v>
      </c>
    </row>
    <row r="3422" spans="1:6" x14ac:dyDescent="0.25">
      <c r="A3422" t="str">
        <f>"22861653"</f>
        <v>22861653</v>
      </c>
      <c r="B3422" t="s">
        <v>3606</v>
      </c>
      <c r="C3422" t="s">
        <v>7</v>
      </c>
      <c r="D3422" t="str">
        <f t="shared" si="106"/>
        <v>556904</v>
      </c>
      <c r="E3422" t="s">
        <v>2186</v>
      </c>
      <c r="F3422" t="s">
        <v>11</v>
      </c>
    </row>
    <row r="3423" spans="1:6" x14ac:dyDescent="0.25">
      <c r="A3423" t="str">
        <f>"22865527"</f>
        <v>22865527</v>
      </c>
      <c r="B3423" t="s">
        <v>3607</v>
      </c>
      <c r="C3423" t="s">
        <v>7</v>
      </c>
      <c r="D3423" t="str">
        <f t="shared" si="106"/>
        <v>556904</v>
      </c>
      <c r="E3423" t="s">
        <v>2186</v>
      </c>
      <c r="F3423" t="s">
        <v>35</v>
      </c>
    </row>
    <row r="3424" spans="1:6" x14ac:dyDescent="0.25">
      <c r="A3424" t="str">
        <f>"46747231"</f>
        <v>46747231</v>
      </c>
      <c r="B3424" t="s">
        <v>3608</v>
      </c>
      <c r="C3424" t="s">
        <v>7</v>
      </c>
      <c r="D3424" t="str">
        <f t="shared" si="106"/>
        <v>556904</v>
      </c>
      <c r="E3424" t="s">
        <v>2186</v>
      </c>
      <c r="F3424" t="s">
        <v>9</v>
      </c>
    </row>
    <row r="3425" spans="1:6" x14ac:dyDescent="0.25">
      <c r="A3425" t="str">
        <f>"00482421"</f>
        <v>00482421</v>
      </c>
      <c r="B3425" t="s">
        <v>3609</v>
      </c>
      <c r="C3425" t="s">
        <v>7</v>
      </c>
      <c r="D3425" t="str">
        <f t="shared" si="106"/>
        <v>556904</v>
      </c>
      <c r="E3425" t="s">
        <v>2186</v>
      </c>
      <c r="F3425" t="s">
        <v>9</v>
      </c>
    </row>
    <row r="3426" spans="1:6" x14ac:dyDescent="0.25">
      <c r="A3426" t="str">
        <f>"65635574"</f>
        <v>65635574</v>
      </c>
      <c r="B3426" t="s">
        <v>3610</v>
      </c>
      <c r="C3426" t="s">
        <v>7</v>
      </c>
      <c r="D3426" t="str">
        <f t="shared" si="106"/>
        <v>556904</v>
      </c>
      <c r="E3426" t="s">
        <v>2186</v>
      </c>
      <c r="F3426" t="s">
        <v>9</v>
      </c>
    </row>
    <row r="3427" spans="1:6" x14ac:dyDescent="0.25">
      <c r="A3427" t="str">
        <f>"65635418"</f>
        <v>65635418</v>
      </c>
      <c r="B3427" t="s">
        <v>3611</v>
      </c>
      <c r="C3427" t="s">
        <v>7</v>
      </c>
      <c r="D3427" t="str">
        <f t="shared" si="106"/>
        <v>556904</v>
      </c>
      <c r="E3427" t="s">
        <v>2186</v>
      </c>
      <c r="F3427" t="s">
        <v>9</v>
      </c>
    </row>
    <row r="3428" spans="1:6" x14ac:dyDescent="0.25">
      <c r="A3428" t="str">
        <f>"46746773"</f>
        <v>46746773</v>
      </c>
      <c r="B3428" t="s">
        <v>3612</v>
      </c>
      <c r="C3428" t="s">
        <v>7</v>
      </c>
      <c r="D3428" t="str">
        <f t="shared" si="106"/>
        <v>556904</v>
      </c>
      <c r="E3428" t="s">
        <v>2186</v>
      </c>
      <c r="F3428" t="s">
        <v>9</v>
      </c>
    </row>
    <row r="3429" spans="1:6" x14ac:dyDescent="0.25">
      <c r="A3429" t="str">
        <f>"46744576"</f>
        <v>46744576</v>
      </c>
      <c r="B3429" t="s">
        <v>3613</v>
      </c>
      <c r="C3429" t="s">
        <v>7</v>
      </c>
      <c r="D3429" t="str">
        <f t="shared" si="106"/>
        <v>556904</v>
      </c>
      <c r="E3429" t="s">
        <v>2186</v>
      </c>
      <c r="F3429" t="s">
        <v>9</v>
      </c>
    </row>
    <row r="3430" spans="1:6" x14ac:dyDescent="0.25">
      <c r="A3430" t="str">
        <f>"46747451"</f>
        <v>46747451</v>
      </c>
      <c r="B3430" t="s">
        <v>3614</v>
      </c>
      <c r="C3430" t="s">
        <v>7</v>
      </c>
      <c r="D3430" t="str">
        <f t="shared" si="106"/>
        <v>556904</v>
      </c>
      <c r="E3430" t="s">
        <v>2186</v>
      </c>
      <c r="F3430" t="s">
        <v>9</v>
      </c>
    </row>
    <row r="3431" spans="1:6" x14ac:dyDescent="0.25">
      <c r="A3431" t="str">
        <f>"46749756"</f>
        <v>46749756</v>
      </c>
      <c r="B3431" t="s">
        <v>3615</v>
      </c>
      <c r="C3431" t="s">
        <v>7</v>
      </c>
      <c r="D3431" t="str">
        <f t="shared" si="106"/>
        <v>556904</v>
      </c>
      <c r="E3431" t="s">
        <v>2186</v>
      </c>
      <c r="F3431" t="s">
        <v>9</v>
      </c>
    </row>
    <row r="3432" spans="1:6" x14ac:dyDescent="0.25">
      <c r="A3432" t="str">
        <f>"46749322"</f>
        <v>46749322</v>
      </c>
      <c r="B3432" t="s">
        <v>3616</v>
      </c>
      <c r="C3432" t="s">
        <v>7</v>
      </c>
      <c r="D3432" t="str">
        <f t="shared" ref="D3432:D3495" si="107">"556904"</f>
        <v>556904</v>
      </c>
      <c r="E3432" t="s">
        <v>2186</v>
      </c>
      <c r="F3432" t="s">
        <v>9</v>
      </c>
    </row>
    <row r="3433" spans="1:6" x14ac:dyDescent="0.25">
      <c r="A3433" t="str">
        <f>"46744509"</f>
        <v>46744509</v>
      </c>
      <c r="B3433" t="s">
        <v>3617</v>
      </c>
      <c r="C3433" t="s">
        <v>7</v>
      </c>
      <c r="D3433" t="str">
        <f t="shared" si="107"/>
        <v>556904</v>
      </c>
      <c r="E3433" t="s">
        <v>2186</v>
      </c>
      <c r="F3433" t="s">
        <v>9</v>
      </c>
    </row>
    <row r="3434" spans="1:6" x14ac:dyDescent="0.25">
      <c r="A3434" t="str">
        <f>"68974515"</f>
        <v>68974515</v>
      </c>
      <c r="B3434" t="s">
        <v>3618</v>
      </c>
      <c r="C3434" t="s">
        <v>7</v>
      </c>
      <c r="D3434" t="str">
        <f t="shared" si="107"/>
        <v>556904</v>
      </c>
      <c r="E3434" t="s">
        <v>2186</v>
      </c>
      <c r="F3434" t="s">
        <v>65</v>
      </c>
    </row>
    <row r="3435" spans="1:6" x14ac:dyDescent="0.25">
      <c r="A3435" t="str">
        <f>"00524387"</f>
        <v>00524387</v>
      </c>
      <c r="B3435" t="s">
        <v>3619</v>
      </c>
      <c r="C3435" t="s">
        <v>7</v>
      </c>
      <c r="D3435" t="str">
        <f t="shared" si="107"/>
        <v>556904</v>
      </c>
      <c r="E3435" t="s">
        <v>2186</v>
      </c>
      <c r="F3435" t="s">
        <v>9</v>
      </c>
    </row>
    <row r="3436" spans="1:6" x14ac:dyDescent="0.25">
      <c r="A3436" t="str">
        <f>"00554979"</f>
        <v>00554979</v>
      </c>
      <c r="B3436" t="s">
        <v>3620</v>
      </c>
      <c r="C3436" t="s">
        <v>7</v>
      </c>
      <c r="D3436" t="str">
        <f t="shared" si="107"/>
        <v>556904</v>
      </c>
      <c r="E3436" t="s">
        <v>2186</v>
      </c>
      <c r="F3436" t="s">
        <v>9</v>
      </c>
    </row>
    <row r="3437" spans="1:6" x14ac:dyDescent="0.25">
      <c r="A3437" t="str">
        <f>"46744681"</f>
        <v>46744681</v>
      </c>
      <c r="B3437" t="s">
        <v>3621</v>
      </c>
      <c r="C3437" t="s">
        <v>7</v>
      </c>
      <c r="D3437" t="str">
        <f t="shared" si="107"/>
        <v>556904</v>
      </c>
      <c r="E3437" t="s">
        <v>2186</v>
      </c>
      <c r="F3437" t="s">
        <v>9</v>
      </c>
    </row>
    <row r="3438" spans="1:6" x14ac:dyDescent="0.25">
      <c r="A3438" t="str">
        <f>"46744592"</f>
        <v>46744592</v>
      </c>
      <c r="B3438" t="s">
        <v>3622</v>
      </c>
      <c r="C3438" t="s">
        <v>7</v>
      </c>
      <c r="D3438" t="str">
        <f t="shared" si="107"/>
        <v>556904</v>
      </c>
      <c r="E3438" t="s">
        <v>2186</v>
      </c>
      <c r="F3438" t="s">
        <v>9</v>
      </c>
    </row>
    <row r="3439" spans="1:6" x14ac:dyDescent="0.25">
      <c r="A3439" t="str">
        <f>"46746609"</f>
        <v>46746609</v>
      </c>
      <c r="B3439" t="s">
        <v>3623</v>
      </c>
      <c r="C3439" t="s">
        <v>7</v>
      </c>
      <c r="D3439" t="str">
        <f t="shared" si="107"/>
        <v>556904</v>
      </c>
      <c r="E3439" t="s">
        <v>2186</v>
      </c>
      <c r="F3439" t="s">
        <v>9</v>
      </c>
    </row>
    <row r="3440" spans="1:6" x14ac:dyDescent="0.25">
      <c r="A3440" t="str">
        <f>"46744118"</f>
        <v>46744118</v>
      </c>
      <c r="B3440" t="s">
        <v>3624</v>
      </c>
      <c r="C3440" t="s">
        <v>7</v>
      </c>
      <c r="D3440" t="str">
        <f t="shared" si="107"/>
        <v>556904</v>
      </c>
      <c r="E3440" t="s">
        <v>2186</v>
      </c>
      <c r="F3440" t="s">
        <v>9</v>
      </c>
    </row>
    <row r="3441" spans="1:6" x14ac:dyDescent="0.25">
      <c r="A3441" t="str">
        <f>"46744894"</f>
        <v>46744894</v>
      </c>
      <c r="B3441" t="s">
        <v>3625</v>
      </c>
      <c r="C3441" t="s">
        <v>7</v>
      </c>
      <c r="D3441" t="str">
        <f t="shared" si="107"/>
        <v>556904</v>
      </c>
      <c r="E3441" t="s">
        <v>2186</v>
      </c>
      <c r="F3441" t="s">
        <v>9</v>
      </c>
    </row>
    <row r="3442" spans="1:6" x14ac:dyDescent="0.25">
      <c r="A3442" t="str">
        <f>"46744851"</f>
        <v>46744851</v>
      </c>
      <c r="B3442" t="s">
        <v>3626</v>
      </c>
      <c r="C3442" t="s">
        <v>7</v>
      </c>
      <c r="D3442" t="str">
        <f t="shared" si="107"/>
        <v>556904</v>
      </c>
      <c r="E3442" t="s">
        <v>2186</v>
      </c>
      <c r="F3442" t="s">
        <v>9</v>
      </c>
    </row>
    <row r="3443" spans="1:6" x14ac:dyDescent="0.25">
      <c r="A3443" t="str">
        <f>"14866404"</f>
        <v>14866404</v>
      </c>
      <c r="B3443" t="s">
        <v>3627</v>
      </c>
      <c r="C3443" t="s">
        <v>7</v>
      </c>
      <c r="D3443" t="str">
        <f t="shared" si="107"/>
        <v>556904</v>
      </c>
      <c r="E3443" t="s">
        <v>2186</v>
      </c>
      <c r="F3443" t="s">
        <v>9</v>
      </c>
    </row>
    <row r="3444" spans="1:6" x14ac:dyDescent="0.25">
      <c r="A3444" t="str">
        <f>"46747001"</f>
        <v>46747001</v>
      </c>
      <c r="B3444" t="s">
        <v>3628</v>
      </c>
      <c r="C3444" t="s">
        <v>7</v>
      </c>
      <c r="D3444" t="str">
        <f t="shared" si="107"/>
        <v>556904</v>
      </c>
      <c r="E3444" t="s">
        <v>2186</v>
      </c>
      <c r="F3444" t="s">
        <v>9</v>
      </c>
    </row>
    <row r="3445" spans="1:6" x14ac:dyDescent="0.25">
      <c r="A3445" t="str">
        <f>"02976781"</f>
        <v>02976781</v>
      </c>
      <c r="B3445" t="s">
        <v>3629</v>
      </c>
      <c r="C3445" t="s">
        <v>7</v>
      </c>
      <c r="D3445" t="str">
        <f t="shared" si="107"/>
        <v>556904</v>
      </c>
      <c r="E3445" t="s">
        <v>2186</v>
      </c>
      <c r="F3445" t="s">
        <v>9</v>
      </c>
    </row>
    <row r="3446" spans="1:6" x14ac:dyDescent="0.25">
      <c r="A3446" t="str">
        <f>"05295751"</f>
        <v>05295751</v>
      </c>
      <c r="B3446" t="s">
        <v>3630</v>
      </c>
      <c r="C3446" t="s">
        <v>7</v>
      </c>
      <c r="D3446" t="str">
        <f t="shared" si="107"/>
        <v>556904</v>
      </c>
      <c r="E3446" t="s">
        <v>2186</v>
      </c>
      <c r="F3446" t="s">
        <v>9</v>
      </c>
    </row>
    <row r="3447" spans="1:6" x14ac:dyDescent="0.25">
      <c r="A3447" t="str">
        <f>"66112494"</f>
        <v>66112494</v>
      </c>
      <c r="B3447" t="s">
        <v>3631</v>
      </c>
      <c r="C3447" t="s">
        <v>7</v>
      </c>
      <c r="D3447" t="str">
        <f t="shared" si="107"/>
        <v>556904</v>
      </c>
      <c r="E3447" t="s">
        <v>2186</v>
      </c>
      <c r="F3447" t="s">
        <v>9</v>
      </c>
    </row>
    <row r="3448" spans="1:6" x14ac:dyDescent="0.25">
      <c r="A3448" t="str">
        <f>"28553381"</f>
        <v>28553381</v>
      </c>
      <c r="B3448" t="s">
        <v>3632</v>
      </c>
      <c r="C3448" t="s">
        <v>7</v>
      </c>
      <c r="D3448" t="str">
        <f t="shared" si="107"/>
        <v>556904</v>
      </c>
      <c r="E3448" t="s">
        <v>2186</v>
      </c>
      <c r="F3448" t="s">
        <v>9</v>
      </c>
    </row>
    <row r="3449" spans="1:6" x14ac:dyDescent="0.25">
      <c r="A3449" t="str">
        <f>"04905156"</f>
        <v>04905156</v>
      </c>
      <c r="B3449" t="s">
        <v>3633</v>
      </c>
      <c r="C3449" t="s">
        <v>7</v>
      </c>
      <c r="D3449" t="str">
        <f t="shared" si="107"/>
        <v>556904</v>
      </c>
      <c r="E3449" t="s">
        <v>2186</v>
      </c>
      <c r="F3449" t="s">
        <v>11</v>
      </c>
    </row>
    <row r="3450" spans="1:6" x14ac:dyDescent="0.25">
      <c r="A3450" t="str">
        <f>"26987473"</f>
        <v>26987473</v>
      </c>
      <c r="B3450" t="s">
        <v>3634</v>
      </c>
      <c r="C3450" t="s">
        <v>7</v>
      </c>
      <c r="D3450" t="str">
        <f t="shared" si="107"/>
        <v>556904</v>
      </c>
      <c r="E3450" t="s">
        <v>2186</v>
      </c>
      <c r="F3450" t="s">
        <v>9</v>
      </c>
    </row>
    <row r="3451" spans="1:6" x14ac:dyDescent="0.25">
      <c r="A3451" t="str">
        <f>"27016757"</f>
        <v>27016757</v>
      </c>
      <c r="B3451" t="s">
        <v>3635</v>
      </c>
      <c r="C3451" t="s">
        <v>7</v>
      </c>
      <c r="D3451" t="str">
        <f t="shared" si="107"/>
        <v>556904</v>
      </c>
      <c r="E3451" t="s">
        <v>2186</v>
      </c>
      <c r="F3451" t="s">
        <v>11</v>
      </c>
    </row>
    <row r="3452" spans="1:6" x14ac:dyDescent="0.25">
      <c r="A3452" t="str">
        <f>"22846221"</f>
        <v>22846221</v>
      </c>
      <c r="B3452" t="s">
        <v>3636</v>
      </c>
      <c r="C3452" t="s">
        <v>7</v>
      </c>
      <c r="D3452" t="str">
        <f t="shared" si="107"/>
        <v>556904</v>
      </c>
      <c r="E3452" t="s">
        <v>2186</v>
      </c>
      <c r="F3452" t="s">
        <v>62</v>
      </c>
    </row>
    <row r="3453" spans="1:6" x14ac:dyDescent="0.25">
      <c r="A3453" t="str">
        <f>"02241901"</f>
        <v>02241901</v>
      </c>
      <c r="B3453" t="s">
        <v>3637</v>
      </c>
      <c r="C3453" t="s">
        <v>27</v>
      </c>
      <c r="D3453" t="str">
        <f t="shared" si="107"/>
        <v>556904</v>
      </c>
      <c r="E3453" t="s">
        <v>2186</v>
      </c>
      <c r="F3453" t="s">
        <v>35</v>
      </c>
    </row>
    <row r="3454" spans="1:6" x14ac:dyDescent="0.25">
      <c r="A3454" t="str">
        <f>"02156857"</f>
        <v>02156857</v>
      </c>
      <c r="B3454" t="s">
        <v>3638</v>
      </c>
      <c r="C3454" t="s">
        <v>7</v>
      </c>
      <c r="D3454" t="str">
        <f t="shared" si="107"/>
        <v>556904</v>
      </c>
      <c r="E3454" t="s">
        <v>2186</v>
      </c>
      <c r="F3454" t="s">
        <v>11</v>
      </c>
    </row>
    <row r="3455" spans="1:6" x14ac:dyDescent="0.25">
      <c r="A3455" t="str">
        <f>"69898006"</f>
        <v>69898006</v>
      </c>
      <c r="B3455" t="s">
        <v>3639</v>
      </c>
      <c r="C3455" t="s">
        <v>7</v>
      </c>
      <c r="D3455" t="str">
        <f t="shared" si="107"/>
        <v>556904</v>
      </c>
      <c r="E3455" t="s">
        <v>2186</v>
      </c>
      <c r="F3455" t="s">
        <v>11</v>
      </c>
    </row>
    <row r="3456" spans="1:6" x14ac:dyDescent="0.25">
      <c r="A3456" t="str">
        <f>"25448030"</f>
        <v>25448030</v>
      </c>
      <c r="B3456" t="s">
        <v>3640</v>
      </c>
      <c r="C3456" t="s">
        <v>78</v>
      </c>
      <c r="D3456" t="str">
        <f t="shared" si="107"/>
        <v>556904</v>
      </c>
      <c r="E3456" t="s">
        <v>2186</v>
      </c>
      <c r="F3456" t="s">
        <v>3641</v>
      </c>
    </row>
    <row r="3457" spans="1:6" x14ac:dyDescent="0.25">
      <c r="A3457" t="str">
        <f>"14348306"</f>
        <v>14348306</v>
      </c>
      <c r="B3457" t="s">
        <v>3642</v>
      </c>
      <c r="C3457" t="s">
        <v>7</v>
      </c>
      <c r="D3457" t="str">
        <f t="shared" si="107"/>
        <v>556904</v>
      </c>
      <c r="E3457" t="s">
        <v>2186</v>
      </c>
      <c r="F3457" t="s">
        <v>11</v>
      </c>
    </row>
    <row r="3458" spans="1:6" x14ac:dyDescent="0.25">
      <c r="A3458" t="str">
        <f>"01539019"</f>
        <v>01539019</v>
      </c>
      <c r="B3458" t="s">
        <v>3643</v>
      </c>
      <c r="C3458" t="s">
        <v>7</v>
      </c>
      <c r="D3458" t="str">
        <f t="shared" si="107"/>
        <v>556904</v>
      </c>
      <c r="E3458" t="s">
        <v>2186</v>
      </c>
      <c r="F3458" t="s">
        <v>11</v>
      </c>
    </row>
    <row r="3459" spans="1:6" x14ac:dyDescent="0.25">
      <c r="A3459" t="str">
        <f>"02385988"</f>
        <v>02385988</v>
      </c>
      <c r="B3459" t="s">
        <v>3644</v>
      </c>
      <c r="C3459" t="s">
        <v>7</v>
      </c>
      <c r="D3459" t="str">
        <f t="shared" si="107"/>
        <v>556904</v>
      </c>
      <c r="E3459" t="s">
        <v>2186</v>
      </c>
      <c r="F3459" t="s">
        <v>35</v>
      </c>
    </row>
    <row r="3460" spans="1:6" x14ac:dyDescent="0.25">
      <c r="A3460" t="str">
        <f>"05464293"</f>
        <v>05464293</v>
      </c>
      <c r="B3460" t="s">
        <v>3645</v>
      </c>
      <c r="C3460" t="s">
        <v>7</v>
      </c>
      <c r="D3460" t="str">
        <f t="shared" si="107"/>
        <v>556904</v>
      </c>
      <c r="E3460" t="s">
        <v>2186</v>
      </c>
      <c r="F3460" t="s">
        <v>1096</v>
      </c>
    </row>
    <row r="3461" spans="1:6" x14ac:dyDescent="0.25">
      <c r="A3461" t="str">
        <f>"70201056"</f>
        <v>70201056</v>
      </c>
      <c r="B3461" t="s">
        <v>3646</v>
      </c>
      <c r="C3461" t="s">
        <v>7</v>
      </c>
      <c r="D3461" t="str">
        <f t="shared" si="107"/>
        <v>556904</v>
      </c>
      <c r="E3461" t="s">
        <v>2186</v>
      </c>
      <c r="F3461" t="s">
        <v>35</v>
      </c>
    </row>
    <row r="3462" spans="1:6" x14ac:dyDescent="0.25">
      <c r="A3462" t="str">
        <f>"18384463"</f>
        <v>18384463</v>
      </c>
      <c r="B3462" t="s">
        <v>3647</v>
      </c>
      <c r="C3462" t="s">
        <v>7</v>
      </c>
      <c r="D3462" t="str">
        <f t="shared" si="107"/>
        <v>556904</v>
      </c>
      <c r="E3462" t="s">
        <v>2186</v>
      </c>
      <c r="F3462" t="s">
        <v>11</v>
      </c>
    </row>
    <row r="3463" spans="1:6" x14ac:dyDescent="0.25">
      <c r="A3463" t="str">
        <f>"06944884"</f>
        <v>06944884</v>
      </c>
      <c r="B3463" t="s">
        <v>3648</v>
      </c>
      <c r="C3463" t="s">
        <v>7</v>
      </c>
      <c r="D3463" t="str">
        <f t="shared" si="107"/>
        <v>556904</v>
      </c>
      <c r="E3463" t="s">
        <v>2186</v>
      </c>
      <c r="F3463" t="s">
        <v>11</v>
      </c>
    </row>
    <row r="3464" spans="1:6" x14ac:dyDescent="0.25">
      <c r="A3464" t="str">
        <f>"65100506"</f>
        <v>65100506</v>
      </c>
      <c r="B3464" t="s">
        <v>3649</v>
      </c>
      <c r="C3464" t="s">
        <v>7</v>
      </c>
      <c r="D3464" t="str">
        <f t="shared" si="107"/>
        <v>556904</v>
      </c>
      <c r="E3464" t="s">
        <v>2186</v>
      </c>
      <c r="F3464" t="s">
        <v>9</v>
      </c>
    </row>
    <row r="3465" spans="1:6" x14ac:dyDescent="0.25">
      <c r="A3465" t="str">
        <f>"25475894"</f>
        <v>25475894</v>
      </c>
      <c r="B3465" t="s">
        <v>3650</v>
      </c>
      <c r="C3465" t="s">
        <v>78</v>
      </c>
      <c r="D3465" t="str">
        <f t="shared" si="107"/>
        <v>556904</v>
      </c>
      <c r="E3465" t="s">
        <v>2186</v>
      </c>
      <c r="F3465" t="s">
        <v>268</v>
      </c>
    </row>
    <row r="3466" spans="1:6" x14ac:dyDescent="0.25">
      <c r="A3466" t="str">
        <f>"06530052"</f>
        <v>06530052</v>
      </c>
      <c r="B3466" t="s">
        <v>3651</v>
      </c>
      <c r="C3466" t="s">
        <v>7</v>
      </c>
      <c r="D3466" t="str">
        <f t="shared" si="107"/>
        <v>556904</v>
      </c>
      <c r="E3466" t="s">
        <v>2186</v>
      </c>
      <c r="F3466" t="s">
        <v>11</v>
      </c>
    </row>
    <row r="3467" spans="1:6" x14ac:dyDescent="0.25">
      <c r="A3467" t="str">
        <f>"08226393"</f>
        <v>08226393</v>
      </c>
      <c r="B3467" t="s">
        <v>3652</v>
      </c>
      <c r="C3467" t="s">
        <v>7</v>
      </c>
      <c r="D3467" t="str">
        <f t="shared" si="107"/>
        <v>556904</v>
      </c>
      <c r="E3467" t="s">
        <v>2186</v>
      </c>
      <c r="F3467" t="s">
        <v>139</v>
      </c>
    </row>
    <row r="3468" spans="1:6" x14ac:dyDescent="0.25">
      <c r="A3468" t="str">
        <f>"71233989"</f>
        <v>71233989</v>
      </c>
      <c r="B3468" t="s">
        <v>3653</v>
      </c>
      <c r="C3468" t="s">
        <v>15</v>
      </c>
      <c r="D3468" t="str">
        <f t="shared" si="107"/>
        <v>556904</v>
      </c>
      <c r="E3468" t="s">
        <v>2186</v>
      </c>
      <c r="F3468" t="s">
        <v>29</v>
      </c>
    </row>
    <row r="3469" spans="1:6" x14ac:dyDescent="0.25">
      <c r="A3469" t="str">
        <f>"09080252"</f>
        <v>09080252</v>
      </c>
      <c r="B3469" t="s">
        <v>3654</v>
      </c>
      <c r="C3469" t="s">
        <v>7</v>
      </c>
      <c r="D3469" t="str">
        <f t="shared" si="107"/>
        <v>556904</v>
      </c>
      <c r="E3469" t="s">
        <v>2186</v>
      </c>
      <c r="F3469" t="s">
        <v>11</v>
      </c>
    </row>
    <row r="3470" spans="1:6" x14ac:dyDescent="0.25">
      <c r="A3470" t="str">
        <f>"09780556"</f>
        <v>09780556</v>
      </c>
      <c r="B3470" t="s">
        <v>3655</v>
      </c>
      <c r="C3470" t="s">
        <v>7</v>
      </c>
      <c r="D3470" t="str">
        <f t="shared" si="107"/>
        <v>556904</v>
      </c>
      <c r="E3470" t="s">
        <v>2186</v>
      </c>
      <c r="F3470" t="s">
        <v>18</v>
      </c>
    </row>
    <row r="3471" spans="1:6" x14ac:dyDescent="0.25">
      <c r="A3471" t="str">
        <f>"71188240"</f>
        <v>71188240</v>
      </c>
      <c r="B3471" t="s">
        <v>3656</v>
      </c>
      <c r="C3471" t="s">
        <v>20</v>
      </c>
      <c r="D3471" t="str">
        <f t="shared" si="107"/>
        <v>556904</v>
      </c>
      <c r="E3471" t="s">
        <v>2186</v>
      </c>
      <c r="F3471" t="s">
        <v>21</v>
      </c>
    </row>
    <row r="3472" spans="1:6" x14ac:dyDescent="0.25">
      <c r="A3472" t="str">
        <f>"01505190"</f>
        <v>01505190</v>
      </c>
      <c r="B3472" t="s">
        <v>3657</v>
      </c>
      <c r="C3472" t="s">
        <v>7</v>
      </c>
      <c r="D3472" t="str">
        <f t="shared" si="107"/>
        <v>556904</v>
      </c>
      <c r="E3472" t="s">
        <v>2186</v>
      </c>
      <c r="F3472" t="s">
        <v>11</v>
      </c>
    </row>
    <row r="3473" spans="1:6" x14ac:dyDescent="0.25">
      <c r="A3473" t="str">
        <f>"28553845"</f>
        <v>28553845</v>
      </c>
      <c r="B3473" t="s">
        <v>3658</v>
      </c>
      <c r="C3473" t="s">
        <v>7</v>
      </c>
      <c r="D3473" t="str">
        <f t="shared" si="107"/>
        <v>556904</v>
      </c>
      <c r="E3473" t="s">
        <v>2186</v>
      </c>
      <c r="F3473" t="s">
        <v>11</v>
      </c>
    </row>
    <row r="3474" spans="1:6" x14ac:dyDescent="0.25">
      <c r="A3474" t="str">
        <f>"71243216"</f>
        <v>71243216</v>
      </c>
      <c r="B3474" t="s">
        <v>3659</v>
      </c>
      <c r="C3474" t="s">
        <v>726</v>
      </c>
      <c r="D3474" t="str">
        <f t="shared" si="107"/>
        <v>556904</v>
      </c>
      <c r="E3474" t="s">
        <v>2186</v>
      </c>
      <c r="F3474" t="s">
        <v>79</v>
      </c>
    </row>
    <row r="3475" spans="1:6" x14ac:dyDescent="0.25">
      <c r="A3475" t="str">
        <f>"68954263"</f>
        <v>68954263</v>
      </c>
      <c r="B3475" t="s">
        <v>3660</v>
      </c>
      <c r="C3475" t="s">
        <v>1038</v>
      </c>
      <c r="D3475" t="str">
        <f t="shared" si="107"/>
        <v>556904</v>
      </c>
      <c r="E3475" t="s">
        <v>2186</v>
      </c>
      <c r="F3475" t="s">
        <v>1039</v>
      </c>
    </row>
    <row r="3476" spans="1:6" x14ac:dyDescent="0.25">
      <c r="A3476" t="str">
        <f>"72743387"</f>
        <v>72743387</v>
      </c>
      <c r="B3476" t="s">
        <v>3661</v>
      </c>
      <c r="C3476" t="s">
        <v>15</v>
      </c>
      <c r="D3476" t="str">
        <f t="shared" si="107"/>
        <v>556904</v>
      </c>
      <c r="E3476" t="s">
        <v>2186</v>
      </c>
      <c r="F3476" t="s">
        <v>11</v>
      </c>
    </row>
    <row r="3477" spans="1:6" x14ac:dyDescent="0.25">
      <c r="A3477" t="str">
        <f>"69411131"</f>
        <v>69411131</v>
      </c>
      <c r="B3477" t="s">
        <v>3662</v>
      </c>
      <c r="C3477" t="s">
        <v>15</v>
      </c>
      <c r="D3477" t="str">
        <f t="shared" si="107"/>
        <v>556904</v>
      </c>
      <c r="E3477" t="s">
        <v>2186</v>
      </c>
      <c r="F3477" t="s">
        <v>11</v>
      </c>
    </row>
    <row r="3478" spans="1:6" x14ac:dyDescent="0.25">
      <c r="A3478" t="str">
        <f>"70952906"</f>
        <v>70952906</v>
      </c>
      <c r="B3478" t="s">
        <v>3663</v>
      </c>
      <c r="C3478" t="s">
        <v>15</v>
      </c>
      <c r="D3478" t="str">
        <f t="shared" si="107"/>
        <v>556904</v>
      </c>
      <c r="E3478" t="s">
        <v>2186</v>
      </c>
      <c r="F3478" t="s">
        <v>11</v>
      </c>
    </row>
    <row r="3479" spans="1:6" x14ac:dyDescent="0.25">
      <c r="A3479" t="str">
        <f>"71153764"</f>
        <v>71153764</v>
      </c>
      <c r="B3479" t="s">
        <v>3664</v>
      </c>
      <c r="C3479" t="s">
        <v>15</v>
      </c>
      <c r="D3479" t="str">
        <f t="shared" si="107"/>
        <v>556904</v>
      </c>
      <c r="E3479" t="s">
        <v>2186</v>
      </c>
      <c r="F3479" t="s">
        <v>11</v>
      </c>
    </row>
    <row r="3480" spans="1:6" x14ac:dyDescent="0.25">
      <c r="A3480" t="str">
        <f>"06986277"</f>
        <v>06986277</v>
      </c>
      <c r="B3480" t="s">
        <v>3665</v>
      </c>
      <c r="C3480" t="s">
        <v>7</v>
      </c>
      <c r="D3480" t="str">
        <f t="shared" si="107"/>
        <v>556904</v>
      </c>
      <c r="E3480" t="s">
        <v>2186</v>
      </c>
      <c r="F3480" t="s">
        <v>13</v>
      </c>
    </row>
    <row r="3481" spans="1:6" x14ac:dyDescent="0.25">
      <c r="A3481" t="str">
        <f>"65100395"</f>
        <v>65100395</v>
      </c>
      <c r="B3481" t="s">
        <v>3666</v>
      </c>
      <c r="C3481" t="s">
        <v>15</v>
      </c>
      <c r="D3481" t="str">
        <f t="shared" si="107"/>
        <v>556904</v>
      </c>
      <c r="E3481" t="s">
        <v>2186</v>
      </c>
      <c r="F3481" t="s">
        <v>137</v>
      </c>
    </row>
    <row r="3482" spans="1:6" x14ac:dyDescent="0.25">
      <c r="A3482" t="str">
        <f>"26659191"</f>
        <v>26659191</v>
      </c>
      <c r="B3482" t="s">
        <v>3667</v>
      </c>
      <c r="C3482" t="s">
        <v>7</v>
      </c>
      <c r="D3482" t="str">
        <f t="shared" si="107"/>
        <v>556904</v>
      </c>
      <c r="E3482" t="s">
        <v>2186</v>
      </c>
      <c r="F3482" t="s">
        <v>11</v>
      </c>
    </row>
    <row r="3483" spans="1:6" x14ac:dyDescent="0.25">
      <c r="A3483" t="str">
        <f>"26666600"</f>
        <v>26666600</v>
      </c>
      <c r="B3483" t="s">
        <v>3668</v>
      </c>
      <c r="C3483" t="s">
        <v>7</v>
      </c>
      <c r="D3483" t="str">
        <f t="shared" si="107"/>
        <v>556904</v>
      </c>
      <c r="E3483" t="s">
        <v>2186</v>
      </c>
      <c r="F3483" t="s">
        <v>11</v>
      </c>
    </row>
    <row r="3484" spans="1:6" x14ac:dyDescent="0.25">
      <c r="A3484" t="str">
        <f>"09705091"</f>
        <v>09705091</v>
      </c>
      <c r="B3484" t="s">
        <v>3669</v>
      </c>
      <c r="C3484" t="s">
        <v>7</v>
      </c>
      <c r="D3484" t="str">
        <f t="shared" si="107"/>
        <v>556904</v>
      </c>
      <c r="E3484" t="s">
        <v>2186</v>
      </c>
      <c r="F3484" t="s">
        <v>11</v>
      </c>
    </row>
    <row r="3485" spans="1:6" x14ac:dyDescent="0.25">
      <c r="A3485" t="str">
        <f>"22869603"</f>
        <v>22869603</v>
      </c>
      <c r="B3485" t="s">
        <v>3670</v>
      </c>
      <c r="C3485" t="s">
        <v>7</v>
      </c>
      <c r="D3485" t="str">
        <f t="shared" si="107"/>
        <v>556904</v>
      </c>
      <c r="E3485" t="s">
        <v>2186</v>
      </c>
      <c r="F3485" t="s">
        <v>328</v>
      </c>
    </row>
    <row r="3486" spans="1:6" x14ac:dyDescent="0.25">
      <c r="A3486" t="str">
        <f>"22640151"</f>
        <v>22640151</v>
      </c>
      <c r="B3486" t="s">
        <v>3671</v>
      </c>
      <c r="C3486" t="s">
        <v>7</v>
      </c>
      <c r="D3486" t="str">
        <f t="shared" si="107"/>
        <v>556904</v>
      </c>
      <c r="E3486" t="s">
        <v>2186</v>
      </c>
      <c r="F3486" t="s">
        <v>11</v>
      </c>
    </row>
    <row r="3487" spans="1:6" x14ac:dyDescent="0.25">
      <c r="A3487" t="str">
        <f>"46745980"</f>
        <v>46745980</v>
      </c>
      <c r="B3487" t="s">
        <v>3672</v>
      </c>
      <c r="C3487" t="s">
        <v>7</v>
      </c>
      <c r="D3487" t="str">
        <f t="shared" si="107"/>
        <v>556904</v>
      </c>
      <c r="E3487" t="s">
        <v>2186</v>
      </c>
      <c r="F3487" t="s">
        <v>9</v>
      </c>
    </row>
    <row r="3488" spans="1:6" x14ac:dyDescent="0.25">
      <c r="A3488" t="str">
        <f>"22888501"</f>
        <v>22888501</v>
      </c>
      <c r="B3488" t="s">
        <v>3673</v>
      </c>
      <c r="C3488" t="s">
        <v>7</v>
      </c>
      <c r="D3488" t="str">
        <f t="shared" si="107"/>
        <v>556904</v>
      </c>
      <c r="E3488" t="s">
        <v>2186</v>
      </c>
      <c r="F3488" t="s">
        <v>11</v>
      </c>
    </row>
    <row r="3489" spans="1:6" x14ac:dyDescent="0.25">
      <c r="A3489" t="str">
        <f>"00433551"</f>
        <v>00433551</v>
      </c>
      <c r="B3489" t="s">
        <v>3674</v>
      </c>
      <c r="C3489" t="s">
        <v>15</v>
      </c>
      <c r="D3489" t="str">
        <f t="shared" si="107"/>
        <v>556904</v>
      </c>
      <c r="E3489" t="s">
        <v>2186</v>
      </c>
      <c r="F3489" t="s">
        <v>29</v>
      </c>
    </row>
    <row r="3490" spans="1:6" x14ac:dyDescent="0.25">
      <c r="A3490" t="str">
        <f>"22838546"</f>
        <v>22838546</v>
      </c>
      <c r="B3490" t="s">
        <v>3675</v>
      </c>
      <c r="C3490" t="s">
        <v>7</v>
      </c>
      <c r="D3490" t="str">
        <f t="shared" si="107"/>
        <v>556904</v>
      </c>
      <c r="E3490" t="s">
        <v>2186</v>
      </c>
      <c r="F3490" t="s">
        <v>29</v>
      </c>
    </row>
    <row r="3491" spans="1:6" x14ac:dyDescent="0.25">
      <c r="A3491" t="str">
        <f>"22833668"</f>
        <v>22833668</v>
      </c>
      <c r="B3491" t="s">
        <v>3676</v>
      </c>
      <c r="C3491" t="s">
        <v>7</v>
      </c>
      <c r="D3491" t="str">
        <f t="shared" si="107"/>
        <v>556904</v>
      </c>
      <c r="E3491" t="s">
        <v>2186</v>
      </c>
      <c r="F3491" t="s">
        <v>11</v>
      </c>
    </row>
    <row r="3492" spans="1:6" x14ac:dyDescent="0.25">
      <c r="A3492" t="str">
        <f>"02447665"</f>
        <v>02447665</v>
      </c>
      <c r="B3492" t="s">
        <v>3677</v>
      </c>
      <c r="C3492" t="s">
        <v>7</v>
      </c>
      <c r="D3492" t="str">
        <f t="shared" si="107"/>
        <v>556904</v>
      </c>
      <c r="E3492" t="s">
        <v>2186</v>
      </c>
      <c r="F3492" t="s">
        <v>11</v>
      </c>
    </row>
    <row r="3493" spans="1:6" x14ac:dyDescent="0.25">
      <c r="A3493" t="str">
        <f>"08522413"</f>
        <v>08522413</v>
      </c>
      <c r="B3493" t="s">
        <v>3678</v>
      </c>
      <c r="C3493" t="s">
        <v>7</v>
      </c>
      <c r="D3493" t="str">
        <f t="shared" si="107"/>
        <v>556904</v>
      </c>
      <c r="E3493" t="s">
        <v>2186</v>
      </c>
      <c r="F3493" t="s">
        <v>11</v>
      </c>
    </row>
    <row r="3494" spans="1:6" x14ac:dyDescent="0.25">
      <c r="A3494" t="str">
        <f>"26643588"</f>
        <v>26643588</v>
      </c>
      <c r="B3494" t="s">
        <v>3679</v>
      </c>
      <c r="C3494" t="s">
        <v>7</v>
      </c>
      <c r="D3494" t="str">
        <f t="shared" si="107"/>
        <v>556904</v>
      </c>
      <c r="E3494" t="s">
        <v>2186</v>
      </c>
      <c r="F3494" t="s">
        <v>11</v>
      </c>
    </row>
    <row r="3495" spans="1:6" x14ac:dyDescent="0.25">
      <c r="A3495" t="str">
        <f>"25409484"</f>
        <v>25409484</v>
      </c>
      <c r="B3495" t="s">
        <v>3680</v>
      </c>
      <c r="C3495" t="s">
        <v>78</v>
      </c>
      <c r="D3495" t="str">
        <f t="shared" si="107"/>
        <v>556904</v>
      </c>
      <c r="E3495" t="s">
        <v>2186</v>
      </c>
      <c r="F3495" t="s">
        <v>11</v>
      </c>
    </row>
    <row r="3496" spans="1:6" x14ac:dyDescent="0.25">
      <c r="A3496" t="str">
        <f>"22771166"</f>
        <v>22771166</v>
      </c>
      <c r="B3496" t="s">
        <v>3681</v>
      </c>
      <c r="C3496" t="s">
        <v>7</v>
      </c>
      <c r="D3496" t="str">
        <f t="shared" ref="D3496:D3559" si="108">"556904"</f>
        <v>556904</v>
      </c>
      <c r="E3496" t="s">
        <v>2186</v>
      </c>
      <c r="F3496" t="s">
        <v>11</v>
      </c>
    </row>
    <row r="3497" spans="1:6" x14ac:dyDescent="0.25">
      <c r="A3497" t="str">
        <f>"13967291"</f>
        <v>13967291</v>
      </c>
      <c r="B3497" t="s">
        <v>3682</v>
      </c>
      <c r="C3497" t="s">
        <v>7</v>
      </c>
      <c r="D3497" t="str">
        <f t="shared" si="108"/>
        <v>556904</v>
      </c>
      <c r="E3497" t="s">
        <v>2186</v>
      </c>
      <c r="F3497" t="s">
        <v>139</v>
      </c>
    </row>
    <row r="3498" spans="1:6" x14ac:dyDescent="0.25">
      <c r="A3498" t="str">
        <f>"18380026"</f>
        <v>18380026</v>
      </c>
      <c r="B3498" t="s">
        <v>3683</v>
      </c>
      <c r="C3498" t="s">
        <v>15</v>
      </c>
      <c r="D3498" t="str">
        <f t="shared" si="108"/>
        <v>556904</v>
      </c>
      <c r="E3498" t="s">
        <v>2186</v>
      </c>
      <c r="F3498" t="s">
        <v>29</v>
      </c>
    </row>
    <row r="3499" spans="1:6" x14ac:dyDescent="0.25">
      <c r="A3499" t="str">
        <f>"26533898"</f>
        <v>26533898</v>
      </c>
      <c r="B3499" t="s">
        <v>3684</v>
      </c>
      <c r="C3499" t="s">
        <v>7</v>
      </c>
      <c r="D3499" t="str">
        <f t="shared" si="108"/>
        <v>556904</v>
      </c>
      <c r="E3499" t="s">
        <v>2186</v>
      </c>
      <c r="F3499" t="s">
        <v>11</v>
      </c>
    </row>
    <row r="3500" spans="1:6" x14ac:dyDescent="0.25">
      <c r="A3500" t="str">
        <f>"04517580"</f>
        <v>04517580</v>
      </c>
      <c r="B3500" t="s">
        <v>3685</v>
      </c>
      <c r="C3500" t="s">
        <v>7</v>
      </c>
      <c r="D3500" t="str">
        <f t="shared" si="108"/>
        <v>556904</v>
      </c>
      <c r="E3500" t="s">
        <v>2186</v>
      </c>
      <c r="F3500" t="s">
        <v>29</v>
      </c>
    </row>
    <row r="3501" spans="1:6" x14ac:dyDescent="0.25">
      <c r="A3501" t="str">
        <f>"05295777"</f>
        <v>05295777</v>
      </c>
      <c r="B3501" t="s">
        <v>3686</v>
      </c>
      <c r="C3501" t="s">
        <v>7</v>
      </c>
      <c r="D3501" t="str">
        <f t="shared" si="108"/>
        <v>556904</v>
      </c>
      <c r="E3501" t="s">
        <v>2186</v>
      </c>
      <c r="F3501" t="s">
        <v>65</v>
      </c>
    </row>
    <row r="3502" spans="1:6" x14ac:dyDescent="0.25">
      <c r="A3502" t="str">
        <f>"04412583"</f>
        <v>04412583</v>
      </c>
      <c r="B3502" t="s">
        <v>3687</v>
      </c>
      <c r="C3502" t="s">
        <v>7</v>
      </c>
      <c r="D3502" t="str">
        <f t="shared" si="108"/>
        <v>556904</v>
      </c>
      <c r="E3502" t="s">
        <v>2186</v>
      </c>
      <c r="F3502" t="s">
        <v>13</v>
      </c>
    </row>
    <row r="3503" spans="1:6" x14ac:dyDescent="0.25">
      <c r="A3503" t="str">
        <f>"26677938"</f>
        <v>26677938</v>
      </c>
      <c r="B3503" t="s">
        <v>3688</v>
      </c>
      <c r="C3503" t="s">
        <v>7</v>
      </c>
      <c r="D3503" t="str">
        <f t="shared" si="108"/>
        <v>556904</v>
      </c>
      <c r="E3503" t="s">
        <v>2186</v>
      </c>
      <c r="F3503" t="s">
        <v>11</v>
      </c>
    </row>
    <row r="3504" spans="1:6" x14ac:dyDescent="0.25">
      <c r="A3504" t="str">
        <f>"09778829"</f>
        <v>09778829</v>
      </c>
      <c r="B3504" t="s">
        <v>3689</v>
      </c>
      <c r="C3504" t="s">
        <v>7</v>
      </c>
      <c r="D3504" t="str">
        <f t="shared" si="108"/>
        <v>556904</v>
      </c>
      <c r="E3504" t="s">
        <v>2186</v>
      </c>
      <c r="F3504" t="s">
        <v>13</v>
      </c>
    </row>
    <row r="3505" spans="1:6" x14ac:dyDescent="0.25">
      <c r="A3505" t="str">
        <f>"14060361"</f>
        <v>14060361</v>
      </c>
      <c r="B3505" t="s">
        <v>3690</v>
      </c>
      <c r="C3505" t="s">
        <v>7</v>
      </c>
      <c r="D3505" t="str">
        <f t="shared" si="108"/>
        <v>556904</v>
      </c>
      <c r="E3505" t="s">
        <v>2186</v>
      </c>
      <c r="F3505" t="s">
        <v>11</v>
      </c>
    </row>
    <row r="3506" spans="1:6" x14ac:dyDescent="0.25">
      <c r="A3506" t="str">
        <f>"63837412"</f>
        <v>63837412</v>
      </c>
      <c r="B3506" t="s">
        <v>3691</v>
      </c>
      <c r="C3506" t="s">
        <v>7</v>
      </c>
      <c r="D3506" t="str">
        <f t="shared" si="108"/>
        <v>556904</v>
      </c>
      <c r="E3506" t="s">
        <v>2186</v>
      </c>
      <c r="F3506" t="s">
        <v>35</v>
      </c>
    </row>
    <row r="3507" spans="1:6" x14ac:dyDescent="0.25">
      <c r="A3507" t="str">
        <f>"66111609"</f>
        <v>66111609</v>
      </c>
      <c r="B3507" t="s">
        <v>3692</v>
      </c>
      <c r="C3507" t="s">
        <v>7</v>
      </c>
      <c r="D3507" t="str">
        <f t="shared" si="108"/>
        <v>556904</v>
      </c>
      <c r="E3507" t="s">
        <v>2186</v>
      </c>
      <c r="F3507" t="s">
        <v>62</v>
      </c>
    </row>
    <row r="3508" spans="1:6" x14ac:dyDescent="0.25">
      <c r="A3508" t="str">
        <f>"70912327"</f>
        <v>70912327</v>
      </c>
      <c r="B3508" t="s">
        <v>3693</v>
      </c>
      <c r="C3508" t="s">
        <v>7</v>
      </c>
      <c r="D3508" t="str">
        <f t="shared" si="108"/>
        <v>556904</v>
      </c>
      <c r="E3508" t="s">
        <v>2186</v>
      </c>
      <c r="F3508" t="s">
        <v>11</v>
      </c>
    </row>
    <row r="3509" spans="1:6" x14ac:dyDescent="0.25">
      <c r="A3509" t="str">
        <f>"02370042"</f>
        <v>02370042</v>
      </c>
      <c r="B3509" t="s">
        <v>3694</v>
      </c>
      <c r="C3509" t="s">
        <v>7</v>
      </c>
      <c r="D3509" t="str">
        <f t="shared" si="108"/>
        <v>556904</v>
      </c>
      <c r="E3509" t="s">
        <v>2186</v>
      </c>
      <c r="F3509" t="s">
        <v>62</v>
      </c>
    </row>
    <row r="3510" spans="1:6" x14ac:dyDescent="0.25">
      <c r="A3510" t="str">
        <f>"26550318"</f>
        <v>26550318</v>
      </c>
      <c r="B3510" t="s">
        <v>3695</v>
      </c>
      <c r="C3510" t="s">
        <v>7</v>
      </c>
      <c r="D3510" t="str">
        <f t="shared" si="108"/>
        <v>556904</v>
      </c>
      <c r="E3510" t="s">
        <v>2186</v>
      </c>
      <c r="F3510" t="s">
        <v>11</v>
      </c>
    </row>
    <row r="3511" spans="1:6" x14ac:dyDescent="0.25">
      <c r="A3511" t="str">
        <f>"22769609"</f>
        <v>22769609</v>
      </c>
      <c r="B3511" t="s">
        <v>3696</v>
      </c>
      <c r="C3511" t="s">
        <v>7</v>
      </c>
      <c r="D3511" t="str">
        <f t="shared" si="108"/>
        <v>556904</v>
      </c>
      <c r="E3511" t="s">
        <v>2186</v>
      </c>
      <c r="F3511" t="s">
        <v>11</v>
      </c>
    </row>
    <row r="3512" spans="1:6" x14ac:dyDescent="0.25">
      <c r="A3512" t="str">
        <f>"68974868"</f>
        <v>68974868</v>
      </c>
      <c r="B3512" t="s">
        <v>3697</v>
      </c>
      <c r="C3512" t="s">
        <v>7</v>
      </c>
      <c r="D3512" t="str">
        <f t="shared" si="108"/>
        <v>556904</v>
      </c>
      <c r="E3512" t="s">
        <v>2186</v>
      </c>
      <c r="F3512" t="s">
        <v>16</v>
      </c>
    </row>
    <row r="3513" spans="1:6" x14ac:dyDescent="0.25">
      <c r="A3513" t="str">
        <f>"04521188"</f>
        <v>04521188</v>
      </c>
      <c r="B3513" t="s">
        <v>3698</v>
      </c>
      <c r="C3513" t="s">
        <v>15</v>
      </c>
      <c r="D3513" t="str">
        <f t="shared" si="108"/>
        <v>556904</v>
      </c>
      <c r="E3513" t="s">
        <v>2186</v>
      </c>
      <c r="F3513" t="s">
        <v>29</v>
      </c>
    </row>
    <row r="3514" spans="1:6" x14ac:dyDescent="0.25">
      <c r="A3514" t="str">
        <f>"40231771"</f>
        <v>40231771</v>
      </c>
      <c r="B3514" t="s">
        <v>3699</v>
      </c>
      <c r="C3514" t="s">
        <v>7</v>
      </c>
      <c r="D3514" t="str">
        <f t="shared" si="108"/>
        <v>556904</v>
      </c>
      <c r="E3514" t="s">
        <v>2186</v>
      </c>
      <c r="F3514" t="s">
        <v>35</v>
      </c>
    </row>
    <row r="3515" spans="1:6" x14ac:dyDescent="0.25">
      <c r="A3515" t="str">
        <f>"65100590"</f>
        <v>65100590</v>
      </c>
      <c r="B3515" t="s">
        <v>3700</v>
      </c>
      <c r="C3515" t="s">
        <v>7</v>
      </c>
      <c r="D3515" t="str">
        <f t="shared" si="108"/>
        <v>556904</v>
      </c>
      <c r="E3515" t="s">
        <v>2186</v>
      </c>
      <c r="F3515" t="s">
        <v>9</v>
      </c>
    </row>
    <row r="3516" spans="1:6" x14ac:dyDescent="0.25">
      <c r="A3516" t="str">
        <f>"02520591"</f>
        <v>02520591</v>
      </c>
      <c r="B3516" t="s">
        <v>3701</v>
      </c>
      <c r="C3516" t="s">
        <v>78</v>
      </c>
      <c r="D3516" t="str">
        <f t="shared" si="108"/>
        <v>556904</v>
      </c>
      <c r="E3516" t="s">
        <v>2186</v>
      </c>
      <c r="F3516" t="s">
        <v>11</v>
      </c>
    </row>
    <row r="3517" spans="1:6" x14ac:dyDescent="0.25">
      <c r="A3517" t="str">
        <f>"02432218"</f>
        <v>02432218</v>
      </c>
      <c r="B3517" t="s">
        <v>3702</v>
      </c>
      <c r="C3517" t="s">
        <v>20</v>
      </c>
      <c r="D3517" t="str">
        <f t="shared" si="108"/>
        <v>556904</v>
      </c>
      <c r="E3517" t="s">
        <v>2186</v>
      </c>
      <c r="F3517" t="s">
        <v>21</v>
      </c>
    </row>
    <row r="3518" spans="1:6" x14ac:dyDescent="0.25">
      <c r="A3518" t="str">
        <f>"22736999"</f>
        <v>22736999</v>
      </c>
      <c r="B3518" t="s">
        <v>3703</v>
      </c>
      <c r="C3518" t="s">
        <v>7</v>
      </c>
      <c r="D3518" t="str">
        <f t="shared" si="108"/>
        <v>556904</v>
      </c>
      <c r="E3518" t="s">
        <v>2186</v>
      </c>
      <c r="F3518" t="s">
        <v>9</v>
      </c>
    </row>
    <row r="3519" spans="1:6" x14ac:dyDescent="0.25">
      <c r="A3519" t="str">
        <f>"22896422"</f>
        <v>22896422</v>
      </c>
      <c r="B3519" t="s">
        <v>3704</v>
      </c>
      <c r="C3519" t="s">
        <v>7</v>
      </c>
      <c r="D3519" t="str">
        <f t="shared" si="108"/>
        <v>556904</v>
      </c>
      <c r="E3519" t="s">
        <v>2186</v>
      </c>
      <c r="F3519" t="s">
        <v>11</v>
      </c>
    </row>
    <row r="3520" spans="1:6" x14ac:dyDescent="0.25">
      <c r="A3520" t="str">
        <f>"69292043"</f>
        <v>69292043</v>
      </c>
      <c r="B3520" t="s">
        <v>3705</v>
      </c>
      <c r="C3520" t="s">
        <v>7</v>
      </c>
      <c r="D3520" t="str">
        <f t="shared" si="108"/>
        <v>556904</v>
      </c>
      <c r="E3520" t="s">
        <v>2186</v>
      </c>
      <c r="F3520" t="s">
        <v>254</v>
      </c>
    </row>
    <row r="3521" spans="1:6" x14ac:dyDescent="0.25">
      <c r="A3521" t="str">
        <f>"46748750"</f>
        <v>46748750</v>
      </c>
      <c r="B3521" t="s">
        <v>3706</v>
      </c>
      <c r="C3521" t="s">
        <v>7</v>
      </c>
      <c r="D3521" t="str">
        <f t="shared" si="108"/>
        <v>556904</v>
      </c>
      <c r="E3521" t="s">
        <v>2186</v>
      </c>
      <c r="F3521" t="s">
        <v>9</v>
      </c>
    </row>
    <row r="3522" spans="1:6" x14ac:dyDescent="0.25">
      <c r="A3522" t="str">
        <f>"07716940"</f>
        <v>07716940</v>
      </c>
      <c r="B3522" t="s">
        <v>3707</v>
      </c>
      <c r="C3522" t="s">
        <v>7</v>
      </c>
      <c r="D3522" t="str">
        <f t="shared" si="108"/>
        <v>556904</v>
      </c>
      <c r="E3522" t="s">
        <v>2186</v>
      </c>
      <c r="F3522" t="s">
        <v>11</v>
      </c>
    </row>
    <row r="3523" spans="1:6" x14ac:dyDescent="0.25">
      <c r="A3523" t="str">
        <f>"22851861"</f>
        <v>22851861</v>
      </c>
      <c r="B3523" t="s">
        <v>3708</v>
      </c>
      <c r="C3523" t="s">
        <v>7</v>
      </c>
      <c r="D3523" t="str">
        <f t="shared" si="108"/>
        <v>556904</v>
      </c>
      <c r="E3523" t="s">
        <v>2186</v>
      </c>
      <c r="F3523" t="s">
        <v>11</v>
      </c>
    </row>
    <row r="3524" spans="1:6" x14ac:dyDescent="0.25">
      <c r="A3524" t="str">
        <f>"19769067"</f>
        <v>19769067</v>
      </c>
      <c r="B3524" t="s">
        <v>3709</v>
      </c>
      <c r="C3524" t="s">
        <v>27</v>
      </c>
      <c r="D3524" t="str">
        <f t="shared" si="108"/>
        <v>556904</v>
      </c>
      <c r="E3524" t="s">
        <v>2186</v>
      </c>
      <c r="F3524" t="s">
        <v>865</v>
      </c>
    </row>
    <row r="3525" spans="1:6" x14ac:dyDescent="0.25">
      <c r="A3525" t="str">
        <f>"21709092"</f>
        <v>21709092</v>
      </c>
      <c r="B3525" t="s">
        <v>3710</v>
      </c>
      <c r="C3525" t="s">
        <v>7</v>
      </c>
      <c r="D3525" t="str">
        <f t="shared" si="108"/>
        <v>556904</v>
      </c>
      <c r="E3525" t="s">
        <v>2186</v>
      </c>
      <c r="F3525" t="s">
        <v>62</v>
      </c>
    </row>
    <row r="3526" spans="1:6" x14ac:dyDescent="0.25">
      <c r="A3526" t="str">
        <f>"01656538"</f>
        <v>01656538</v>
      </c>
      <c r="B3526" t="s">
        <v>3711</v>
      </c>
      <c r="C3526" t="s">
        <v>7</v>
      </c>
      <c r="D3526" t="str">
        <f t="shared" si="108"/>
        <v>556904</v>
      </c>
      <c r="E3526" t="s">
        <v>2186</v>
      </c>
      <c r="F3526" t="s">
        <v>62</v>
      </c>
    </row>
    <row r="3527" spans="1:6" x14ac:dyDescent="0.25">
      <c r="A3527" t="str">
        <f>"02126834"</f>
        <v>02126834</v>
      </c>
      <c r="B3527" t="s">
        <v>3712</v>
      </c>
      <c r="C3527" t="s">
        <v>7</v>
      </c>
      <c r="D3527" t="str">
        <f t="shared" si="108"/>
        <v>556904</v>
      </c>
      <c r="E3527" t="s">
        <v>2186</v>
      </c>
      <c r="F3527" t="s">
        <v>13</v>
      </c>
    </row>
    <row r="3528" spans="1:6" x14ac:dyDescent="0.25">
      <c r="A3528" t="str">
        <f>"22883380"</f>
        <v>22883380</v>
      </c>
      <c r="B3528" t="s">
        <v>3713</v>
      </c>
      <c r="C3528" t="s">
        <v>7</v>
      </c>
      <c r="D3528" t="str">
        <f t="shared" si="108"/>
        <v>556904</v>
      </c>
      <c r="E3528" t="s">
        <v>2186</v>
      </c>
      <c r="F3528" t="s">
        <v>11</v>
      </c>
    </row>
    <row r="3529" spans="1:6" x14ac:dyDescent="0.25">
      <c r="A3529" t="str">
        <f>"22549277"</f>
        <v>22549277</v>
      </c>
      <c r="B3529" t="s">
        <v>3714</v>
      </c>
      <c r="C3529" t="s">
        <v>7</v>
      </c>
      <c r="D3529" t="str">
        <f t="shared" si="108"/>
        <v>556904</v>
      </c>
      <c r="E3529" t="s">
        <v>2186</v>
      </c>
      <c r="F3529" t="s">
        <v>11</v>
      </c>
    </row>
    <row r="3530" spans="1:6" x14ac:dyDescent="0.25">
      <c r="A3530" t="str">
        <f>"07903626"</f>
        <v>07903626</v>
      </c>
      <c r="B3530" t="s">
        <v>3715</v>
      </c>
      <c r="C3530" t="s">
        <v>7</v>
      </c>
      <c r="D3530" t="str">
        <f t="shared" si="108"/>
        <v>556904</v>
      </c>
      <c r="E3530" t="s">
        <v>2186</v>
      </c>
      <c r="F3530" t="s">
        <v>11</v>
      </c>
    </row>
    <row r="3531" spans="1:6" x14ac:dyDescent="0.25">
      <c r="A3531" t="str">
        <f>"06397981"</f>
        <v>06397981</v>
      </c>
      <c r="B3531" t="s">
        <v>3716</v>
      </c>
      <c r="C3531" t="s">
        <v>7</v>
      </c>
      <c r="D3531" t="str">
        <f t="shared" si="108"/>
        <v>556904</v>
      </c>
      <c r="E3531" t="s">
        <v>2186</v>
      </c>
      <c r="F3531" t="s">
        <v>62</v>
      </c>
    </row>
    <row r="3532" spans="1:6" x14ac:dyDescent="0.25">
      <c r="A3532" t="str">
        <f>"27279014"</f>
        <v>27279014</v>
      </c>
      <c r="B3532" t="s">
        <v>3717</v>
      </c>
      <c r="C3532" t="s">
        <v>78</v>
      </c>
      <c r="D3532" t="str">
        <f t="shared" si="108"/>
        <v>556904</v>
      </c>
      <c r="E3532" t="s">
        <v>2186</v>
      </c>
      <c r="F3532" t="s">
        <v>326</v>
      </c>
    </row>
    <row r="3533" spans="1:6" x14ac:dyDescent="0.25">
      <c r="A3533" t="str">
        <f>"22892893"</f>
        <v>22892893</v>
      </c>
      <c r="B3533" t="s">
        <v>3718</v>
      </c>
      <c r="C3533" t="s">
        <v>7</v>
      </c>
      <c r="D3533" t="str">
        <f t="shared" si="108"/>
        <v>556904</v>
      </c>
      <c r="E3533" t="s">
        <v>2186</v>
      </c>
      <c r="F3533" t="s">
        <v>62</v>
      </c>
    </row>
    <row r="3534" spans="1:6" x14ac:dyDescent="0.25">
      <c r="A3534" t="str">
        <f>"22853847"</f>
        <v>22853847</v>
      </c>
      <c r="B3534" t="s">
        <v>3719</v>
      </c>
      <c r="C3534" t="s">
        <v>7</v>
      </c>
      <c r="D3534" t="str">
        <f t="shared" si="108"/>
        <v>556904</v>
      </c>
      <c r="E3534" t="s">
        <v>2186</v>
      </c>
      <c r="F3534" t="s">
        <v>11</v>
      </c>
    </row>
    <row r="3535" spans="1:6" x14ac:dyDescent="0.25">
      <c r="A3535" t="str">
        <f>"27012891"</f>
        <v>27012891</v>
      </c>
      <c r="B3535" t="s">
        <v>3720</v>
      </c>
      <c r="C3535" t="s">
        <v>7</v>
      </c>
      <c r="D3535" t="str">
        <f t="shared" si="108"/>
        <v>556904</v>
      </c>
      <c r="E3535" t="s">
        <v>2186</v>
      </c>
      <c r="F3535" t="s">
        <v>65</v>
      </c>
    </row>
    <row r="3536" spans="1:6" x14ac:dyDescent="0.25">
      <c r="A3536" t="str">
        <f>"22869972"</f>
        <v>22869972</v>
      </c>
      <c r="B3536" t="s">
        <v>3721</v>
      </c>
      <c r="C3536" t="s">
        <v>7</v>
      </c>
      <c r="D3536" t="str">
        <f t="shared" si="108"/>
        <v>556904</v>
      </c>
      <c r="E3536" t="s">
        <v>2186</v>
      </c>
      <c r="F3536" t="s">
        <v>139</v>
      </c>
    </row>
    <row r="3537" spans="1:6" x14ac:dyDescent="0.25">
      <c r="A3537" t="str">
        <f>"02226804"</f>
        <v>02226804</v>
      </c>
      <c r="B3537" t="s">
        <v>3722</v>
      </c>
      <c r="C3537" t="s">
        <v>7</v>
      </c>
      <c r="D3537" t="str">
        <f t="shared" si="108"/>
        <v>556904</v>
      </c>
      <c r="E3537" t="s">
        <v>2186</v>
      </c>
      <c r="F3537" t="s">
        <v>11</v>
      </c>
    </row>
    <row r="3538" spans="1:6" x14ac:dyDescent="0.25">
      <c r="A3538" t="str">
        <f>"26546523"</f>
        <v>26546523</v>
      </c>
      <c r="B3538" t="s">
        <v>3723</v>
      </c>
      <c r="C3538" t="s">
        <v>7</v>
      </c>
      <c r="D3538" t="str">
        <f t="shared" si="108"/>
        <v>556904</v>
      </c>
      <c r="E3538" t="s">
        <v>2186</v>
      </c>
      <c r="F3538" t="s">
        <v>11</v>
      </c>
    </row>
    <row r="3539" spans="1:6" x14ac:dyDescent="0.25">
      <c r="A3539" t="str">
        <f>"22663134"</f>
        <v>22663134</v>
      </c>
      <c r="B3539" t="s">
        <v>3724</v>
      </c>
      <c r="C3539" t="s">
        <v>7</v>
      </c>
      <c r="D3539" t="str">
        <f t="shared" si="108"/>
        <v>556904</v>
      </c>
      <c r="E3539" t="s">
        <v>2186</v>
      </c>
      <c r="F3539" t="s">
        <v>11</v>
      </c>
    </row>
    <row r="3540" spans="1:6" x14ac:dyDescent="0.25">
      <c r="A3540" t="str">
        <f>"17387817"</f>
        <v>17387817</v>
      </c>
      <c r="B3540" t="s">
        <v>3725</v>
      </c>
      <c r="C3540" t="s">
        <v>7</v>
      </c>
      <c r="D3540" t="str">
        <f t="shared" si="108"/>
        <v>556904</v>
      </c>
      <c r="E3540" t="s">
        <v>2186</v>
      </c>
      <c r="F3540" t="s">
        <v>11</v>
      </c>
    </row>
    <row r="3541" spans="1:6" x14ac:dyDescent="0.25">
      <c r="A3541" t="str">
        <f>"10878297"</f>
        <v>10878297</v>
      </c>
      <c r="B3541" t="s">
        <v>3726</v>
      </c>
      <c r="C3541" t="s">
        <v>7</v>
      </c>
      <c r="D3541" t="str">
        <f t="shared" si="108"/>
        <v>556904</v>
      </c>
      <c r="E3541" t="s">
        <v>2186</v>
      </c>
      <c r="F3541" t="s">
        <v>13</v>
      </c>
    </row>
    <row r="3542" spans="1:6" x14ac:dyDescent="0.25">
      <c r="A3542" t="str">
        <f>"03270157"</f>
        <v>03270157</v>
      </c>
      <c r="B3542" t="s">
        <v>3727</v>
      </c>
      <c r="C3542" t="s">
        <v>7</v>
      </c>
      <c r="D3542" t="str">
        <f t="shared" si="108"/>
        <v>556904</v>
      </c>
      <c r="E3542" t="s">
        <v>2186</v>
      </c>
      <c r="F3542" t="s">
        <v>11</v>
      </c>
    </row>
    <row r="3543" spans="1:6" x14ac:dyDescent="0.25">
      <c r="A3543" t="str">
        <f>"19865716"</f>
        <v>19865716</v>
      </c>
      <c r="B3543" t="s">
        <v>3728</v>
      </c>
      <c r="C3543" t="s">
        <v>7</v>
      </c>
      <c r="D3543" t="str">
        <f t="shared" si="108"/>
        <v>556904</v>
      </c>
      <c r="E3543" t="s">
        <v>2186</v>
      </c>
      <c r="F3543" t="s">
        <v>29</v>
      </c>
    </row>
    <row r="3544" spans="1:6" x14ac:dyDescent="0.25">
      <c r="A3544" t="str">
        <f>"69388369"</f>
        <v>69388369</v>
      </c>
      <c r="B3544" t="s">
        <v>3729</v>
      </c>
      <c r="C3544" t="s">
        <v>7</v>
      </c>
      <c r="D3544" t="str">
        <f t="shared" si="108"/>
        <v>556904</v>
      </c>
      <c r="E3544" t="s">
        <v>2186</v>
      </c>
      <c r="F3544" t="s">
        <v>254</v>
      </c>
    </row>
    <row r="3545" spans="1:6" x14ac:dyDescent="0.25">
      <c r="A3545" t="str">
        <f>"69388521"</f>
        <v>69388521</v>
      </c>
      <c r="B3545" t="s">
        <v>3730</v>
      </c>
      <c r="C3545" t="s">
        <v>7</v>
      </c>
      <c r="D3545" t="str">
        <f t="shared" si="108"/>
        <v>556904</v>
      </c>
      <c r="E3545" t="s">
        <v>2186</v>
      </c>
      <c r="F3545" t="s">
        <v>254</v>
      </c>
    </row>
    <row r="3546" spans="1:6" x14ac:dyDescent="0.25">
      <c r="A3546" t="str">
        <f>"75148871"</f>
        <v>75148871</v>
      </c>
      <c r="B3546" t="s">
        <v>3731</v>
      </c>
      <c r="C3546" t="s">
        <v>20</v>
      </c>
      <c r="D3546" t="str">
        <f t="shared" si="108"/>
        <v>556904</v>
      </c>
      <c r="E3546" t="s">
        <v>2186</v>
      </c>
      <c r="F3546" t="s">
        <v>21</v>
      </c>
    </row>
    <row r="3547" spans="1:6" x14ac:dyDescent="0.25">
      <c r="A3547" t="str">
        <f>"22827617"</f>
        <v>22827617</v>
      </c>
      <c r="B3547" t="s">
        <v>3732</v>
      </c>
      <c r="C3547" t="s">
        <v>20</v>
      </c>
      <c r="D3547" t="str">
        <f t="shared" si="108"/>
        <v>556904</v>
      </c>
      <c r="E3547" t="s">
        <v>2186</v>
      </c>
      <c r="F3547" t="s">
        <v>21</v>
      </c>
    </row>
    <row r="3548" spans="1:6" x14ac:dyDescent="0.25">
      <c r="A3548" t="str">
        <f>"70949948"</f>
        <v>70949948</v>
      </c>
      <c r="B3548" t="s">
        <v>3733</v>
      </c>
      <c r="C3548" t="s">
        <v>20</v>
      </c>
      <c r="D3548" t="str">
        <f t="shared" si="108"/>
        <v>556904</v>
      </c>
      <c r="E3548" t="s">
        <v>2186</v>
      </c>
      <c r="F3548" t="s">
        <v>21</v>
      </c>
    </row>
    <row r="3549" spans="1:6" x14ac:dyDescent="0.25">
      <c r="A3549" t="str">
        <f>"75133831"</f>
        <v>75133831</v>
      </c>
      <c r="B3549" t="s">
        <v>3734</v>
      </c>
      <c r="C3549" t="s">
        <v>20</v>
      </c>
      <c r="D3549" t="str">
        <f t="shared" si="108"/>
        <v>556904</v>
      </c>
      <c r="E3549" t="s">
        <v>2186</v>
      </c>
      <c r="F3549" t="s">
        <v>21</v>
      </c>
    </row>
    <row r="3550" spans="1:6" x14ac:dyDescent="0.25">
      <c r="A3550" t="str">
        <f>"75129591"</f>
        <v>75129591</v>
      </c>
      <c r="B3550" t="s">
        <v>3735</v>
      </c>
      <c r="C3550" t="s">
        <v>20</v>
      </c>
      <c r="D3550" t="str">
        <f t="shared" si="108"/>
        <v>556904</v>
      </c>
      <c r="E3550" t="s">
        <v>2186</v>
      </c>
      <c r="F3550" t="s">
        <v>21</v>
      </c>
    </row>
    <row r="3551" spans="1:6" x14ac:dyDescent="0.25">
      <c r="A3551" t="str">
        <f>"65081421"</f>
        <v>65081421</v>
      </c>
      <c r="B3551" t="s">
        <v>3736</v>
      </c>
      <c r="C3551" t="s">
        <v>20</v>
      </c>
      <c r="D3551" t="str">
        <f t="shared" si="108"/>
        <v>556904</v>
      </c>
      <c r="E3551" t="s">
        <v>2186</v>
      </c>
      <c r="F3551" t="s">
        <v>21</v>
      </c>
    </row>
    <row r="3552" spans="1:6" x14ac:dyDescent="0.25">
      <c r="A3552" t="str">
        <f>"75070006"</f>
        <v>75070006</v>
      </c>
      <c r="B3552" t="s">
        <v>3737</v>
      </c>
      <c r="C3552" t="s">
        <v>20</v>
      </c>
      <c r="D3552" t="str">
        <f t="shared" si="108"/>
        <v>556904</v>
      </c>
      <c r="E3552" t="s">
        <v>2186</v>
      </c>
      <c r="F3552" t="s">
        <v>21</v>
      </c>
    </row>
    <row r="3553" spans="1:6" x14ac:dyDescent="0.25">
      <c r="A3553" t="str">
        <f>"09779914"</f>
        <v>09779914</v>
      </c>
      <c r="B3553" t="s">
        <v>3738</v>
      </c>
      <c r="C3553" t="s">
        <v>20</v>
      </c>
      <c r="D3553" t="str">
        <f t="shared" si="108"/>
        <v>556904</v>
      </c>
      <c r="E3553" t="s">
        <v>2186</v>
      </c>
      <c r="F3553" t="s">
        <v>21</v>
      </c>
    </row>
    <row r="3554" spans="1:6" x14ac:dyDescent="0.25">
      <c r="A3554" t="str">
        <f>"11649992"</f>
        <v>11649992</v>
      </c>
      <c r="B3554" t="s">
        <v>3739</v>
      </c>
      <c r="C3554" t="s">
        <v>20</v>
      </c>
      <c r="D3554" t="str">
        <f t="shared" si="108"/>
        <v>556904</v>
      </c>
      <c r="E3554" t="s">
        <v>2186</v>
      </c>
      <c r="F3554" t="s">
        <v>21</v>
      </c>
    </row>
    <row r="3555" spans="1:6" x14ac:dyDescent="0.25">
      <c r="A3555" t="str">
        <f>"22816283"</f>
        <v>22816283</v>
      </c>
      <c r="B3555" t="s">
        <v>3740</v>
      </c>
      <c r="C3555" t="s">
        <v>20</v>
      </c>
      <c r="D3555" t="str">
        <f t="shared" si="108"/>
        <v>556904</v>
      </c>
      <c r="E3555" t="s">
        <v>2186</v>
      </c>
      <c r="F3555" t="s">
        <v>21</v>
      </c>
    </row>
    <row r="3556" spans="1:6" x14ac:dyDescent="0.25">
      <c r="A3556" t="str">
        <f>"75148820"</f>
        <v>75148820</v>
      </c>
      <c r="B3556" t="s">
        <v>3741</v>
      </c>
      <c r="C3556" t="s">
        <v>20</v>
      </c>
      <c r="D3556" t="str">
        <f t="shared" si="108"/>
        <v>556904</v>
      </c>
      <c r="E3556" t="s">
        <v>2186</v>
      </c>
      <c r="F3556" t="s">
        <v>21</v>
      </c>
    </row>
    <row r="3557" spans="1:6" x14ac:dyDescent="0.25">
      <c r="A3557" t="str">
        <f>"46747583"</f>
        <v>46747583</v>
      </c>
      <c r="B3557" t="s">
        <v>3742</v>
      </c>
      <c r="C3557" t="s">
        <v>20</v>
      </c>
      <c r="D3557" t="str">
        <f t="shared" si="108"/>
        <v>556904</v>
      </c>
      <c r="E3557" t="s">
        <v>2186</v>
      </c>
      <c r="F3557" t="s">
        <v>21</v>
      </c>
    </row>
    <row r="3558" spans="1:6" x14ac:dyDescent="0.25">
      <c r="A3558" t="str">
        <f>"69291241"</f>
        <v>69291241</v>
      </c>
      <c r="B3558" t="s">
        <v>3743</v>
      </c>
      <c r="C3558" t="s">
        <v>15</v>
      </c>
      <c r="D3558" t="str">
        <f t="shared" si="108"/>
        <v>556904</v>
      </c>
      <c r="E3558" t="s">
        <v>2186</v>
      </c>
      <c r="F3558" t="s">
        <v>29</v>
      </c>
    </row>
    <row r="3559" spans="1:6" x14ac:dyDescent="0.25">
      <c r="A3559" t="str">
        <f>"75052865"</f>
        <v>75052865</v>
      </c>
      <c r="B3559" t="s">
        <v>3744</v>
      </c>
      <c r="C3559" t="s">
        <v>15</v>
      </c>
      <c r="D3559" t="str">
        <f t="shared" si="108"/>
        <v>556904</v>
      </c>
      <c r="E3559" t="s">
        <v>2186</v>
      </c>
      <c r="F3559" t="s">
        <v>29</v>
      </c>
    </row>
    <row r="3560" spans="1:6" x14ac:dyDescent="0.25">
      <c r="A3560" t="str">
        <f>"46749080"</f>
        <v>46749080</v>
      </c>
      <c r="B3560" t="s">
        <v>3745</v>
      </c>
      <c r="C3560" t="s">
        <v>15</v>
      </c>
      <c r="D3560" t="str">
        <f t="shared" ref="D3560:D3623" si="109">"556904"</f>
        <v>556904</v>
      </c>
      <c r="E3560" t="s">
        <v>2186</v>
      </c>
      <c r="F3560" t="s">
        <v>29</v>
      </c>
    </row>
    <row r="3561" spans="1:6" x14ac:dyDescent="0.25">
      <c r="A3561" t="str">
        <f>"68455747"</f>
        <v>68455747</v>
      </c>
      <c r="B3561" t="s">
        <v>3746</v>
      </c>
      <c r="C3561" t="s">
        <v>15</v>
      </c>
      <c r="D3561" t="str">
        <f t="shared" si="109"/>
        <v>556904</v>
      </c>
      <c r="E3561" t="s">
        <v>2186</v>
      </c>
      <c r="F3561" t="s">
        <v>29</v>
      </c>
    </row>
    <row r="3562" spans="1:6" x14ac:dyDescent="0.25">
      <c r="A3562" t="str">
        <f>"68299044"</f>
        <v>68299044</v>
      </c>
      <c r="B3562" t="s">
        <v>3747</v>
      </c>
      <c r="C3562" t="s">
        <v>15</v>
      </c>
      <c r="D3562" t="str">
        <f t="shared" si="109"/>
        <v>556904</v>
      </c>
      <c r="E3562" t="s">
        <v>2186</v>
      </c>
      <c r="F3562" t="s">
        <v>29</v>
      </c>
    </row>
    <row r="3563" spans="1:6" x14ac:dyDescent="0.25">
      <c r="A3563" t="str">
        <f>"72042982"</f>
        <v>72042982</v>
      </c>
      <c r="B3563" t="s">
        <v>3748</v>
      </c>
      <c r="C3563" t="s">
        <v>15</v>
      </c>
      <c r="D3563" t="str">
        <f t="shared" si="109"/>
        <v>556904</v>
      </c>
      <c r="E3563" t="s">
        <v>2186</v>
      </c>
      <c r="F3563" t="s">
        <v>29</v>
      </c>
    </row>
    <row r="3564" spans="1:6" x14ac:dyDescent="0.25">
      <c r="A3564" t="str">
        <f>"68455658"</f>
        <v>68455658</v>
      </c>
      <c r="B3564" t="s">
        <v>3749</v>
      </c>
      <c r="C3564" t="s">
        <v>15</v>
      </c>
      <c r="D3564" t="str">
        <f t="shared" si="109"/>
        <v>556904</v>
      </c>
      <c r="E3564" t="s">
        <v>2186</v>
      </c>
      <c r="F3564" t="s">
        <v>29</v>
      </c>
    </row>
    <row r="3565" spans="1:6" x14ac:dyDescent="0.25">
      <c r="A3565" t="str">
        <f>"68455771"</f>
        <v>68455771</v>
      </c>
      <c r="B3565" t="s">
        <v>3750</v>
      </c>
      <c r="C3565" t="s">
        <v>15</v>
      </c>
      <c r="D3565" t="str">
        <f t="shared" si="109"/>
        <v>556904</v>
      </c>
      <c r="E3565" t="s">
        <v>2186</v>
      </c>
      <c r="F3565" t="s">
        <v>29</v>
      </c>
    </row>
    <row r="3566" spans="1:6" x14ac:dyDescent="0.25">
      <c r="A3566" t="str">
        <f>"68455704"</f>
        <v>68455704</v>
      </c>
      <c r="B3566" t="s">
        <v>3751</v>
      </c>
      <c r="C3566" t="s">
        <v>15</v>
      </c>
      <c r="D3566" t="str">
        <f t="shared" si="109"/>
        <v>556904</v>
      </c>
      <c r="E3566" t="s">
        <v>2186</v>
      </c>
      <c r="F3566" t="s">
        <v>29</v>
      </c>
    </row>
    <row r="3567" spans="1:6" x14ac:dyDescent="0.25">
      <c r="A3567" t="str">
        <f>"70906807"</f>
        <v>70906807</v>
      </c>
      <c r="B3567" t="s">
        <v>3752</v>
      </c>
      <c r="C3567" t="s">
        <v>15</v>
      </c>
      <c r="D3567" t="str">
        <f t="shared" si="109"/>
        <v>556904</v>
      </c>
      <c r="E3567" t="s">
        <v>2186</v>
      </c>
      <c r="F3567" t="s">
        <v>29</v>
      </c>
    </row>
    <row r="3568" spans="1:6" x14ac:dyDescent="0.25">
      <c r="A3568" t="str">
        <f>"68455712"</f>
        <v>68455712</v>
      </c>
      <c r="B3568" t="s">
        <v>3753</v>
      </c>
      <c r="C3568" t="s">
        <v>15</v>
      </c>
      <c r="D3568" t="str">
        <f t="shared" si="109"/>
        <v>556904</v>
      </c>
      <c r="E3568" t="s">
        <v>2186</v>
      </c>
      <c r="F3568" t="s">
        <v>29</v>
      </c>
    </row>
    <row r="3569" spans="1:6" x14ac:dyDescent="0.25">
      <c r="A3569" t="str">
        <f>"68455682"</f>
        <v>68455682</v>
      </c>
      <c r="B3569" t="s">
        <v>3754</v>
      </c>
      <c r="C3569" t="s">
        <v>15</v>
      </c>
      <c r="D3569" t="str">
        <f t="shared" si="109"/>
        <v>556904</v>
      </c>
      <c r="E3569" t="s">
        <v>2186</v>
      </c>
      <c r="F3569" t="s">
        <v>29</v>
      </c>
    </row>
    <row r="3570" spans="1:6" x14ac:dyDescent="0.25">
      <c r="A3570" t="str">
        <f>"68955049"</f>
        <v>68955049</v>
      </c>
      <c r="B3570" t="s">
        <v>3755</v>
      </c>
      <c r="C3570" t="s">
        <v>15</v>
      </c>
      <c r="D3570" t="str">
        <f t="shared" si="109"/>
        <v>556904</v>
      </c>
      <c r="E3570" t="s">
        <v>2186</v>
      </c>
      <c r="F3570" t="s">
        <v>29</v>
      </c>
    </row>
    <row r="3571" spans="1:6" x14ac:dyDescent="0.25">
      <c r="A3571" t="str">
        <f>"68455721"</f>
        <v>68455721</v>
      </c>
      <c r="B3571" t="s">
        <v>3756</v>
      </c>
      <c r="C3571" t="s">
        <v>15</v>
      </c>
      <c r="D3571" t="str">
        <f t="shared" si="109"/>
        <v>556904</v>
      </c>
      <c r="E3571" t="s">
        <v>2186</v>
      </c>
      <c r="F3571" t="s">
        <v>29</v>
      </c>
    </row>
    <row r="3572" spans="1:6" x14ac:dyDescent="0.25">
      <c r="A3572" t="str">
        <f>"68455623"</f>
        <v>68455623</v>
      </c>
      <c r="B3572" t="s">
        <v>3757</v>
      </c>
      <c r="C3572" t="s">
        <v>15</v>
      </c>
      <c r="D3572" t="str">
        <f t="shared" si="109"/>
        <v>556904</v>
      </c>
      <c r="E3572" t="s">
        <v>2186</v>
      </c>
      <c r="F3572" t="s">
        <v>29</v>
      </c>
    </row>
    <row r="3573" spans="1:6" x14ac:dyDescent="0.25">
      <c r="A3573" t="str">
        <f>"68455801"</f>
        <v>68455801</v>
      </c>
      <c r="B3573" t="s">
        <v>3758</v>
      </c>
      <c r="C3573" t="s">
        <v>15</v>
      </c>
      <c r="D3573" t="str">
        <f t="shared" si="109"/>
        <v>556904</v>
      </c>
      <c r="E3573" t="s">
        <v>2186</v>
      </c>
      <c r="F3573" t="s">
        <v>29</v>
      </c>
    </row>
    <row r="3574" spans="1:6" x14ac:dyDescent="0.25">
      <c r="A3574" t="str">
        <f>"71174524"</f>
        <v>71174524</v>
      </c>
      <c r="B3574" t="s">
        <v>3759</v>
      </c>
      <c r="C3574" t="s">
        <v>15</v>
      </c>
      <c r="D3574" t="str">
        <f t="shared" si="109"/>
        <v>556904</v>
      </c>
      <c r="E3574" t="s">
        <v>2186</v>
      </c>
      <c r="F3574" t="s">
        <v>29</v>
      </c>
    </row>
    <row r="3575" spans="1:6" x14ac:dyDescent="0.25">
      <c r="A3575" t="str">
        <f>"70832382"</f>
        <v>70832382</v>
      </c>
      <c r="B3575" t="s">
        <v>3760</v>
      </c>
      <c r="C3575" t="s">
        <v>15</v>
      </c>
      <c r="D3575" t="str">
        <f t="shared" si="109"/>
        <v>556904</v>
      </c>
      <c r="E3575" t="s">
        <v>2186</v>
      </c>
      <c r="F3575" t="s">
        <v>29</v>
      </c>
    </row>
    <row r="3576" spans="1:6" x14ac:dyDescent="0.25">
      <c r="A3576" t="str">
        <f>"70859787"</f>
        <v>70859787</v>
      </c>
      <c r="B3576" t="s">
        <v>3761</v>
      </c>
      <c r="C3576" t="s">
        <v>15</v>
      </c>
      <c r="D3576" t="str">
        <f t="shared" si="109"/>
        <v>556904</v>
      </c>
      <c r="E3576" t="s">
        <v>2186</v>
      </c>
      <c r="F3576" t="s">
        <v>29</v>
      </c>
    </row>
    <row r="3577" spans="1:6" x14ac:dyDescent="0.25">
      <c r="A3577" t="str">
        <f>"68455640"</f>
        <v>68455640</v>
      </c>
      <c r="B3577" t="s">
        <v>3762</v>
      </c>
      <c r="C3577" t="s">
        <v>15</v>
      </c>
      <c r="D3577" t="str">
        <f t="shared" si="109"/>
        <v>556904</v>
      </c>
      <c r="E3577" t="s">
        <v>2186</v>
      </c>
      <c r="F3577" t="s">
        <v>29</v>
      </c>
    </row>
    <row r="3578" spans="1:6" x14ac:dyDescent="0.25">
      <c r="A3578" t="str">
        <f>"68455666"</f>
        <v>68455666</v>
      </c>
      <c r="B3578" t="s">
        <v>3763</v>
      </c>
      <c r="C3578" t="s">
        <v>15</v>
      </c>
      <c r="D3578" t="str">
        <f t="shared" si="109"/>
        <v>556904</v>
      </c>
      <c r="E3578" t="s">
        <v>2186</v>
      </c>
      <c r="F3578" t="s">
        <v>29</v>
      </c>
    </row>
    <row r="3579" spans="1:6" x14ac:dyDescent="0.25">
      <c r="A3579" t="str">
        <f>"65100468"</f>
        <v>65100468</v>
      </c>
      <c r="B3579" t="s">
        <v>3764</v>
      </c>
      <c r="C3579" t="s">
        <v>15</v>
      </c>
      <c r="D3579" t="str">
        <f t="shared" si="109"/>
        <v>556904</v>
      </c>
      <c r="E3579" t="s">
        <v>2186</v>
      </c>
      <c r="F3579" t="s">
        <v>29</v>
      </c>
    </row>
    <row r="3580" spans="1:6" x14ac:dyDescent="0.25">
      <c r="A3580" t="str">
        <f>"68455798"</f>
        <v>68455798</v>
      </c>
      <c r="B3580" t="s">
        <v>3765</v>
      </c>
      <c r="C3580" t="s">
        <v>15</v>
      </c>
      <c r="D3580" t="str">
        <f t="shared" si="109"/>
        <v>556904</v>
      </c>
      <c r="E3580" t="s">
        <v>2186</v>
      </c>
      <c r="F3580" t="s">
        <v>29</v>
      </c>
    </row>
    <row r="3581" spans="1:6" x14ac:dyDescent="0.25">
      <c r="A3581" t="str">
        <f>"70823618"</f>
        <v>70823618</v>
      </c>
      <c r="B3581" t="s">
        <v>3766</v>
      </c>
      <c r="C3581" t="s">
        <v>15</v>
      </c>
      <c r="D3581" t="str">
        <f t="shared" si="109"/>
        <v>556904</v>
      </c>
      <c r="E3581" t="s">
        <v>2186</v>
      </c>
      <c r="F3581" t="s">
        <v>29</v>
      </c>
    </row>
    <row r="3582" spans="1:6" x14ac:dyDescent="0.25">
      <c r="A3582" t="str">
        <f>"68455691"</f>
        <v>68455691</v>
      </c>
      <c r="B3582" t="s">
        <v>3767</v>
      </c>
      <c r="C3582" t="s">
        <v>15</v>
      </c>
      <c r="D3582" t="str">
        <f t="shared" si="109"/>
        <v>556904</v>
      </c>
      <c r="E3582" t="s">
        <v>2186</v>
      </c>
      <c r="F3582" t="s">
        <v>29</v>
      </c>
    </row>
    <row r="3583" spans="1:6" x14ac:dyDescent="0.25">
      <c r="A3583" t="str">
        <f>"72558296"</f>
        <v>72558296</v>
      </c>
      <c r="B3583" t="s">
        <v>3768</v>
      </c>
      <c r="C3583" t="s">
        <v>15</v>
      </c>
      <c r="D3583" t="str">
        <f t="shared" si="109"/>
        <v>556904</v>
      </c>
      <c r="E3583" t="s">
        <v>2186</v>
      </c>
      <c r="F3583" t="s">
        <v>29</v>
      </c>
    </row>
    <row r="3584" spans="1:6" x14ac:dyDescent="0.25">
      <c r="A3584" t="str">
        <f>"68455755"</f>
        <v>68455755</v>
      </c>
      <c r="B3584" t="s">
        <v>3769</v>
      </c>
      <c r="C3584" t="s">
        <v>15</v>
      </c>
      <c r="D3584" t="str">
        <f t="shared" si="109"/>
        <v>556904</v>
      </c>
      <c r="E3584" t="s">
        <v>2186</v>
      </c>
      <c r="F3584" t="s">
        <v>29</v>
      </c>
    </row>
    <row r="3585" spans="1:6" x14ac:dyDescent="0.25">
      <c r="A3585" t="str">
        <f>"46744177"</f>
        <v>46744177</v>
      </c>
      <c r="B3585" t="s">
        <v>3770</v>
      </c>
      <c r="C3585" t="s">
        <v>20</v>
      </c>
      <c r="D3585" t="str">
        <f t="shared" si="109"/>
        <v>556904</v>
      </c>
      <c r="E3585" t="s">
        <v>2186</v>
      </c>
      <c r="F3585" t="s">
        <v>21</v>
      </c>
    </row>
    <row r="3586" spans="1:6" x14ac:dyDescent="0.25">
      <c r="A3586" t="str">
        <f>"46749641"</f>
        <v>46749641</v>
      </c>
      <c r="B3586" t="s">
        <v>3771</v>
      </c>
      <c r="C3586" t="s">
        <v>20</v>
      </c>
      <c r="D3586" t="str">
        <f t="shared" si="109"/>
        <v>556904</v>
      </c>
      <c r="E3586" t="s">
        <v>2186</v>
      </c>
      <c r="F3586" t="s">
        <v>21</v>
      </c>
    </row>
    <row r="3587" spans="1:6" x14ac:dyDescent="0.25">
      <c r="A3587" t="str">
        <f>"46744304"</f>
        <v>46744304</v>
      </c>
      <c r="B3587" t="s">
        <v>3772</v>
      </c>
      <c r="C3587" t="s">
        <v>20</v>
      </c>
      <c r="D3587" t="str">
        <f t="shared" si="109"/>
        <v>556904</v>
      </c>
      <c r="E3587" t="s">
        <v>2186</v>
      </c>
      <c r="F3587" t="s">
        <v>21</v>
      </c>
    </row>
    <row r="3588" spans="1:6" x14ac:dyDescent="0.25">
      <c r="A3588" t="str">
        <f>"71241361"</f>
        <v>71241361</v>
      </c>
      <c r="B3588" t="s">
        <v>3773</v>
      </c>
      <c r="C3588" t="s">
        <v>20</v>
      </c>
      <c r="D3588" t="str">
        <f t="shared" si="109"/>
        <v>556904</v>
      </c>
      <c r="E3588" t="s">
        <v>2186</v>
      </c>
      <c r="F3588" t="s">
        <v>21</v>
      </c>
    </row>
    <row r="3589" spans="1:6" x14ac:dyDescent="0.25">
      <c r="A3589" t="str">
        <f>"75121611"</f>
        <v>75121611</v>
      </c>
      <c r="B3589" t="s">
        <v>3774</v>
      </c>
      <c r="C3589" t="s">
        <v>20</v>
      </c>
      <c r="D3589" t="str">
        <f t="shared" si="109"/>
        <v>556904</v>
      </c>
      <c r="E3589" t="s">
        <v>2186</v>
      </c>
      <c r="F3589" t="s">
        <v>21</v>
      </c>
    </row>
    <row r="3590" spans="1:6" x14ac:dyDescent="0.25">
      <c r="A3590" t="str">
        <f>"71188827"</f>
        <v>71188827</v>
      </c>
      <c r="B3590" t="s">
        <v>3775</v>
      </c>
      <c r="C3590" t="s">
        <v>20</v>
      </c>
      <c r="D3590" t="str">
        <f t="shared" si="109"/>
        <v>556904</v>
      </c>
      <c r="E3590" t="s">
        <v>2186</v>
      </c>
      <c r="F3590" t="s">
        <v>21</v>
      </c>
    </row>
    <row r="3591" spans="1:6" x14ac:dyDescent="0.25">
      <c r="A3591" t="str">
        <f>"71188801"</f>
        <v>71188801</v>
      </c>
      <c r="B3591" t="s">
        <v>3776</v>
      </c>
      <c r="C3591" t="s">
        <v>20</v>
      </c>
      <c r="D3591" t="str">
        <f t="shared" si="109"/>
        <v>556904</v>
      </c>
      <c r="E3591" t="s">
        <v>2186</v>
      </c>
      <c r="F3591" t="s">
        <v>21</v>
      </c>
    </row>
    <row r="3592" spans="1:6" x14ac:dyDescent="0.25">
      <c r="A3592" t="str">
        <f>"71188797"</f>
        <v>71188797</v>
      </c>
      <c r="B3592" t="s">
        <v>3777</v>
      </c>
      <c r="C3592" t="s">
        <v>20</v>
      </c>
      <c r="D3592" t="str">
        <f t="shared" si="109"/>
        <v>556904</v>
      </c>
      <c r="E3592" t="s">
        <v>2186</v>
      </c>
      <c r="F3592" t="s">
        <v>21</v>
      </c>
    </row>
    <row r="3593" spans="1:6" x14ac:dyDescent="0.25">
      <c r="A3593" t="str">
        <f>"71188789"</f>
        <v>71188789</v>
      </c>
      <c r="B3593" t="s">
        <v>3778</v>
      </c>
      <c r="C3593" t="s">
        <v>20</v>
      </c>
      <c r="D3593" t="str">
        <f t="shared" si="109"/>
        <v>556904</v>
      </c>
      <c r="E3593" t="s">
        <v>2186</v>
      </c>
      <c r="F3593" t="s">
        <v>21</v>
      </c>
    </row>
    <row r="3594" spans="1:6" x14ac:dyDescent="0.25">
      <c r="A3594" t="str">
        <f>"71188649"</f>
        <v>71188649</v>
      </c>
      <c r="B3594" t="s">
        <v>3779</v>
      </c>
      <c r="C3594" t="s">
        <v>20</v>
      </c>
      <c r="D3594" t="str">
        <f t="shared" si="109"/>
        <v>556904</v>
      </c>
      <c r="E3594" t="s">
        <v>2186</v>
      </c>
      <c r="F3594" t="s">
        <v>21</v>
      </c>
    </row>
    <row r="3595" spans="1:6" x14ac:dyDescent="0.25">
      <c r="A3595" t="str">
        <f>"71188690"</f>
        <v>71188690</v>
      </c>
      <c r="B3595" t="s">
        <v>3780</v>
      </c>
      <c r="C3595" t="s">
        <v>20</v>
      </c>
      <c r="D3595" t="str">
        <f t="shared" si="109"/>
        <v>556904</v>
      </c>
      <c r="E3595" t="s">
        <v>2186</v>
      </c>
      <c r="F3595" t="s">
        <v>21</v>
      </c>
    </row>
    <row r="3596" spans="1:6" x14ac:dyDescent="0.25">
      <c r="A3596" t="str">
        <f>"71188223"</f>
        <v>71188223</v>
      </c>
      <c r="B3596" t="s">
        <v>3781</v>
      </c>
      <c r="C3596" t="s">
        <v>20</v>
      </c>
      <c r="D3596" t="str">
        <f t="shared" si="109"/>
        <v>556904</v>
      </c>
      <c r="E3596" t="s">
        <v>2186</v>
      </c>
      <c r="F3596" t="s">
        <v>21</v>
      </c>
    </row>
    <row r="3597" spans="1:6" x14ac:dyDescent="0.25">
      <c r="A3597" t="str">
        <f>"71188738"</f>
        <v>71188738</v>
      </c>
      <c r="B3597" t="s">
        <v>3782</v>
      </c>
      <c r="C3597" t="s">
        <v>20</v>
      </c>
      <c r="D3597" t="str">
        <f t="shared" si="109"/>
        <v>556904</v>
      </c>
      <c r="E3597" t="s">
        <v>2186</v>
      </c>
      <c r="F3597" t="s">
        <v>21</v>
      </c>
    </row>
    <row r="3598" spans="1:6" x14ac:dyDescent="0.25">
      <c r="A3598" t="str">
        <f>"71188452"</f>
        <v>71188452</v>
      </c>
      <c r="B3598" t="s">
        <v>3783</v>
      </c>
      <c r="C3598" t="s">
        <v>20</v>
      </c>
      <c r="D3598" t="str">
        <f t="shared" si="109"/>
        <v>556904</v>
      </c>
      <c r="E3598" t="s">
        <v>2186</v>
      </c>
      <c r="F3598" t="s">
        <v>21</v>
      </c>
    </row>
    <row r="3599" spans="1:6" x14ac:dyDescent="0.25">
      <c r="A3599" t="str">
        <f>"71188550"</f>
        <v>71188550</v>
      </c>
      <c r="B3599" t="s">
        <v>3784</v>
      </c>
      <c r="C3599" t="s">
        <v>20</v>
      </c>
      <c r="D3599" t="str">
        <f t="shared" si="109"/>
        <v>556904</v>
      </c>
      <c r="E3599" t="s">
        <v>2186</v>
      </c>
      <c r="F3599" t="s">
        <v>21</v>
      </c>
    </row>
    <row r="3600" spans="1:6" x14ac:dyDescent="0.25">
      <c r="A3600" t="str">
        <f>"71188657"</f>
        <v>71188657</v>
      </c>
      <c r="B3600" t="s">
        <v>3785</v>
      </c>
      <c r="C3600" t="s">
        <v>20</v>
      </c>
      <c r="D3600" t="str">
        <f t="shared" si="109"/>
        <v>556904</v>
      </c>
      <c r="E3600" t="s">
        <v>2186</v>
      </c>
      <c r="F3600" t="s">
        <v>21</v>
      </c>
    </row>
    <row r="3601" spans="1:6" x14ac:dyDescent="0.25">
      <c r="A3601" t="str">
        <f>"71188631"</f>
        <v>71188631</v>
      </c>
      <c r="B3601" t="s">
        <v>3786</v>
      </c>
      <c r="C3601" t="s">
        <v>20</v>
      </c>
      <c r="D3601" t="str">
        <f t="shared" si="109"/>
        <v>556904</v>
      </c>
      <c r="E3601" t="s">
        <v>2186</v>
      </c>
      <c r="F3601" t="s">
        <v>21</v>
      </c>
    </row>
    <row r="3602" spans="1:6" x14ac:dyDescent="0.25">
      <c r="A3602" t="str">
        <f>"71188258"</f>
        <v>71188258</v>
      </c>
      <c r="B3602" t="s">
        <v>3787</v>
      </c>
      <c r="C3602" t="s">
        <v>20</v>
      </c>
      <c r="D3602" t="str">
        <f t="shared" si="109"/>
        <v>556904</v>
      </c>
      <c r="E3602" t="s">
        <v>2186</v>
      </c>
      <c r="F3602" t="s">
        <v>21</v>
      </c>
    </row>
    <row r="3603" spans="1:6" x14ac:dyDescent="0.25">
      <c r="A3603" t="str">
        <f>"71188525"</f>
        <v>71188525</v>
      </c>
      <c r="B3603" t="s">
        <v>3788</v>
      </c>
      <c r="C3603" t="s">
        <v>20</v>
      </c>
      <c r="D3603" t="str">
        <f t="shared" si="109"/>
        <v>556904</v>
      </c>
      <c r="E3603" t="s">
        <v>2186</v>
      </c>
      <c r="F3603" t="s">
        <v>21</v>
      </c>
    </row>
    <row r="3604" spans="1:6" x14ac:dyDescent="0.25">
      <c r="A3604" t="str">
        <f>"71188703"</f>
        <v>71188703</v>
      </c>
      <c r="B3604" t="s">
        <v>3789</v>
      </c>
      <c r="C3604" t="s">
        <v>20</v>
      </c>
      <c r="D3604" t="str">
        <f t="shared" si="109"/>
        <v>556904</v>
      </c>
      <c r="E3604" t="s">
        <v>2186</v>
      </c>
      <c r="F3604" t="s">
        <v>21</v>
      </c>
    </row>
    <row r="3605" spans="1:6" x14ac:dyDescent="0.25">
      <c r="A3605" t="str">
        <f>"71188711"</f>
        <v>71188711</v>
      </c>
      <c r="B3605" t="s">
        <v>3790</v>
      </c>
      <c r="C3605" t="s">
        <v>20</v>
      </c>
      <c r="D3605" t="str">
        <f t="shared" si="109"/>
        <v>556904</v>
      </c>
      <c r="E3605" t="s">
        <v>2186</v>
      </c>
      <c r="F3605" t="s">
        <v>21</v>
      </c>
    </row>
    <row r="3606" spans="1:6" x14ac:dyDescent="0.25">
      <c r="A3606" t="str">
        <f>"71188835"</f>
        <v>71188835</v>
      </c>
      <c r="B3606" t="s">
        <v>3791</v>
      </c>
      <c r="C3606" t="s">
        <v>20</v>
      </c>
      <c r="D3606" t="str">
        <f t="shared" si="109"/>
        <v>556904</v>
      </c>
      <c r="E3606" t="s">
        <v>2186</v>
      </c>
      <c r="F3606" t="s">
        <v>21</v>
      </c>
    </row>
    <row r="3607" spans="1:6" x14ac:dyDescent="0.25">
      <c r="A3607" t="str">
        <f>"71188681"</f>
        <v>71188681</v>
      </c>
      <c r="B3607" t="s">
        <v>3792</v>
      </c>
      <c r="C3607" t="s">
        <v>20</v>
      </c>
      <c r="D3607" t="str">
        <f t="shared" si="109"/>
        <v>556904</v>
      </c>
      <c r="E3607" t="s">
        <v>2186</v>
      </c>
      <c r="F3607" t="s">
        <v>21</v>
      </c>
    </row>
    <row r="3608" spans="1:6" x14ac:dyDescent="0.25">
      <c r="A3608" t="str">
        <f>"71188479"</f>
        <v>71188479</v>
      </c>
      <c r="B3608" t="s">
        <v>3793</v>
      </c>
      <c r="C3608" t="s">
        <v>20</v>
      </c>
      <c r="D3608" t="str">
        <f t="shared" si="109"/>
        <v>556904</v>
      </c>
      <c r="E3608" t="s">
        <v>2186</v>
      </c>
      <c r="F3608" t="s">
        <v>21</v>
      </c>
    </row>
    <row r="3609" spans="1:6" x14ac:dyDescent="0.25">
      <c r="A3609" t="str">
        <f>"71188347"</f>
        <v>71188347</v>
      </c>
      <c r="B3609" t="s">
        <v>3794</v>
      </c>
      <c r="C3609" t="s">
        <v>20</v>
      </c>
      <c r="D3609" t="str">
        <f t="shared" si="109"/>
        <v>556904</v>
      </c>
      <c r="E3609" t="s">
        <v>2186</v>
      </c>
      <c r="F3609" t="s">
        <v>21</v>
      </c>
    </row>
    <row r="3610" spans="1:6" x14ac:dyDescent="0.25">
      <c r="A3610" t="str">
        <f>"71188860"</f>
        <v>71188860</v>
      </c>
      <c r="B3610" t="s">
        <v>3795</v>
      </c>
      <c r="C3610" t="s">
        <v>20</v>
      </c>
      <c r="D3610" t="str">
        <f t="shared" si="109"/>
        <v>556904</v>
      </c>
      <c r="E3610" t="s">
        <v>2186</v>
      </c>
      <c r="F3610" t="s">
        <v>21</v>
      </c>
    </row>
    <row r="3611" spans="1:6" x14ac:dyDescent="0.25">
      <c r="A3611" t="str">
        <f>"71188754"</f>
        <v>71188754</v>
      </c>
      <c r="B3611" t="s">
        <v>3796</v>
      </c>
      <c r="C3611" t="s">
        <v>20</v>
      </c>
      <c r="D3611" t="str">
        <f t="shared" si="109"/>
        <v>556904</v>
      </c>
      <c r="E3611" t="s">
        <v>2186</v>
      </c>
      <c r="F3611" t="s">
        <v>21</v>
      </c>
    </row>
    <row r="3612" spans="1:6" x14ac:dyDescent="0.25">
      <c r="A3612" t="str">
        <f>"64040305"</f>
        <v>64040305</v>
      </c>
      <c r="B3612" t="s">
        <v>3797</v>
      </c>
      <c r="C3612" t="s">
        <v>20</v>
      </c>
      <c r="D3612" t="str">
        <f t="shared" si="109"/>
        <v>556904</v>
      </c>
      <c r="E3612" t="s">
        <v>2186</v>
      </c>
      <c r="F3612" t="s">
        <v>21</v>
      </c>
    </row>
    <row r="3613" spans="1:6" x14ac:dyDescent="0.25">
      <c r="A3613" t="str">
        <f>"14271966"</f>
        <v>14271966</v>
      </c>
      <c r="B3613" t="s">
        <v>3798</v>
      </c>
      <c r="C3613" t="s">
        <v>20</v>
      </c>
      <c r="D3613" t="str">
        <f t="shared" si="109"/>
        <v>556904</v>
      </c>
      <c r="E3613" t="s">
        <v>2186</v>
      </c>
      <c r="F3613" t="s">
        <v>21</v>
      </c>
    </row>
    <row r="3614" spans="1:6" x14ac:dyDescent="0.25">
      <c r="A3614" t="str">
        <f>"44224621"</f>
        <v>44224621</v>
      </c>
      <c r="B3614" t="s">
        <v>3799</v>
      </c>
      <c r="C3614" t="s">
        <v>20</v>
      </c>
      <c r="D3614" t="str">
        <f t="shared" si="109"/>
        <v>556904</v>
      </c>
      <c r="E3614" t="s">
        <v>2186</v>
      </c>
      <c r="F3614" t="s">
        <v>21</v>
      </c>
    </row>
    <row r="3615" spans="1:6" x14ac:dyDescent="0.25">
      <c r="A3615" t="str">
        <f>"70694028"</f>
        <v>70694028</v>
      </c>
      <c r="B3615" t="s">
        <v>3800</v>
      </c>
      <c r="C3615" t="s">
        <v>20</v>
      </c>
      <c r="D3615" t="str">
        <f t="shared" si="109"/>
        <v>556904</v>
      </c>
      <c r="E3615" t="s">
        <v>2186</v>
      </c>
      <c r="F3615" t="s">
        <v>21</v>
      </c>
    </row>
    <row r="3616" spans="1:6" x14ac:dyDescent="0.25">
      <c r="A3616" t="str">
        <f>"71211101"</f>
        <v>71211101</v>
      </c>
      <c r="B3616" t="s">
        <v>3801</v>
      </c>
      <c r="C3616" t="s">
        <v>20</v>
      </c>
      <c r="D3616" t="str">
        <f t="shared" si="109"/>
        <v>556904</v>
      </c>
      <c r="E3616" t="s">
        <v>2186</v>
      </c>
      <c r="F3616" t="s">
        <v>21</v>
      </c>
    </row>
    <row r="3617" spans="1:6" x14ac:dyDescent="0.25">
      <c r="A3617" t="str">
        <f>"01660241"</f>
        <v>01660241</v>
      </c>
      <c r="B3617" t="s">
        <v>3802</v>
      </c>
      <c r="C3617" t="s">
        <v>20</v>
      </c>
      <c r="D3617" t="str">
        <f t="shared" si="109"/>
        <v>556904</v>
      </c>
      <c r="E3617" t="s">
        <v>2186</v>
      </c>
      <c r="F3617" t="s">
        <v>21</v>
      </c>
    </row>
    <row r="3618" spans="1:6" x14ac:dyDescent="0.25">
      <c r="A3618" t="str">
        <f>"41326601"</f>
        <v>41326601</v>
      </c>
      <c r="B3618" t="s">
        <v>3803</v>
      </c>
      <c r="C3618" t="s">
        <v>20</v>
      </c>
      <c r="D3618" t="str">
        <f t="shared" si="109"/>
        <v>556904</v>
      </c>
      <c r="E3618" t="s">
        <v>2186</v>
      </c>
      <c r="F3618" t="s">
        <v>21</v>
      </c>
    </row>
    <row r="3619" spans="1:6" x14ac:dyDescent="0.25">
      <c r="A3619" t="str">
        <f>"22714201"</f>
        <v>22714201</v>
      </c>
      <c r="B3619" t="s">
        <v>3804</v>
      </c>
      <c r="C3619" t="s">
        <v>20</v>
      </c>
      <c r="D3619" t="str">
        <f t="shared" si="109"/>
        <v>556904</v>
      </c>
      <c r="E3619" t="s">
        <v>2186</v>
      </c>
      <c r="F3619" t="s">
        <v>21</v>
      </c>
    </row>
    <row r="3620" spans="1:6" x14ac:dyDescent="0.25">
      <c r="A3620" t="str">
        <f>"00557145"</f>
        <v>00557145</v>
      </c>
      <c r="B3620" t="s">
        <v>3805</v>
      </c>
      <c r="C3620" t="s">
        <v>7</v>
      </c>
      <c r="D3620" t="str">
        <f t="shared" si="109"/>
        <v>556904</v>
      </c>
      <c r="E3620" t="s">
        <v>2186</v>
      </c>
      <c r="F3620" t="s">
        <v>11</v>
      </c>
    </row>
    <row r="3621" spans="1:6" x14ac:dyDescent="0.25">
      <c r="A3621" t="str">
        <f>"28724747"</f>
        <v>28724747</v>
      </c>
      <c r="B3621" t="s">
        <v>3806</v>
      </c>
      <c r="C3621" t="s">
        <v>78</v>
      </c>
      <c r="D3621" t="str">
        <f t="shared" si="109"/>
        <v>556904</v>
      </c>
      <c r="E3621" t="s">
        <v>2186</v>
      </c>
      <c r="F3621" t="s">
        <v>389</v>
      </c>
    </row>
    <row r="3622" spans="1:6" x14ac:dyDescent="0.25">
      <c r="A3622" t="str">
        <f>"01583476"</f>
        <v>01583476</v>
      </c>
      <c r="B3622" t="s">
        <v>3807</v>
      </c>
      <c r="C3622" t="s">
        <v>7</v>
      </c>
      <c r="D3622" t="str">
        <f t="shared" si="109"/>
        <v>556904</v>
      </c>
      <c r="E3622" t="s">
        <v>2186</v>
      </c>
      <c r="F3622" t="s">
        <v>11</v>
      </c>
    </row>
    <row r="3623" spans="1:6" x14ac:dyDescent="0.25">
      <c r="A3623" t="str">
        <f>"26648181"</f>
        <v>26648181</v>
      </c>
      <c r="B3623" t="s">
        <v>3808</v>
      </c>
      <c r="C3623" t="s">
        <v>7</v>
      </c>
      <c r="D3623" t="str">
        <f t="shared" si="109"/>
        <v>556904</v>
      </c>
      <c r="E3623" t="s">
        <v>2186</v>
      </c>
      <c r="F3623" t="s">
        <v>9</v>
      </c>
    </row>
    <row r="3624" spans="1:6" x14ac:dyDescent="0.25">
      <c r="A3624" t="str">
        <f>"69388636"</f>
        <v>69388636</v>
      </c>
      <c r="B3624" t="s">
        <v>3809</v>
      </c>
      <c r="C3624" t="s">
        <v>7</v>
      </c>
      <c r="D3624" t="str">
        <f t="shared" ref="D3624:D3687" si="110">"556904"</f>
        <v>556904</v>
      </c>
      <c r="E3624" t="s">
        <v>2186</v>
      </c>
      <c r="F3624" t="s">
        <v>3810</v>
      </c>
    </row>
    <row r="3625" spans="1:6" x14ac:dyDescent="0.25">
      <c r="A3625" t="str">
        <f>"22837639"</f>
        <v>22837639</v>
      </c>
      <c r="B3625" t="s">
        <v>3811</v>
      </c>
      <c r="C3625" t="s">
        <v>7</v>
      </c>
      <c r="D3625" t="str">
        <f t="shared" si="110"/>
        <v>556904</v>
      </c>
      <c r="E3625" t="s">
        <v>2186</v>
      </c>
      <c r="F3625" t="s">
        <v>137</v>
      </c>
    </row>
    <row r="3626" spans="1:6" x14ac:dyDescent="0.25">
      <c r="A3626" t="str">
        <f>"22843361"</f>
        <v>22843361</v>
      </c>
      <c r="B3626" t="s">
        <v>3812</v>
      </c>
      <c r="C3626" t="s">
        <v>7</v>
      </c>
      <c r="D3626" t="str">
        <f t="shared" si="110"/>
        <v>556904</v>
      </c>
      <c r="E3626" t="s">
        <v>2186</v>
      </c>
      <c r="F3626" t="s">
        <v>137</v>
      </c>
    </row>
    <row r="3627" spans="1:6" x14ac:dyDescent="0.25">
      <c r="A3627" t="str">
        <f>"06103537"</f>
        <v>06103537</v>
      </c>
      <c r="B3627" t="s">
        <v>3813</v>
      </c>
      <c r="C3627" t="s">
        <v>7</v>
      </c>
      <c r="D3627" t="str">
        <f t="shared" si="110"/>
        <v>556904</v>
      </c>
      <c r="E3627" t="s">
        <v>2186</v>
      </c>
      <c r="F3627" t="s">
        <v>11</v>
      </c>
    </row>
    <row r="3628" spans="1:6" x14ac:dyDescent="0.25">
      <c r="A3628" t="str">
        <f>"22906631"</f>
        <v>22906631</v>
      </c>
      <c r="B3628" t="s">
        <v>3814</v>
      </c>
      <c r="C3628" t="s">
        <v>7</v>
      </c>
      <c r="D3628" t="str">
        <f t="shared" si="110"/>
        <v>556904</v>
      </c>
      <c r="E3628" t="s">
        <v>2186</v>
      </c>
      <c r="F3628" t="s">
        <v>11</v>
      </c>
    </row>
    <row r="3629" spans="1:6" x14ac:dyDescent="0.25">
      <c r="A3629" t="str">
        <f>"22732896"</f>
        <v>22732896</v>
      </c>
      <c r="B3629" t="s">
        <v>3815</v>
      </c>
      <c r="C3629" t="s">
        <v>7</v>
      </c>
      <c r="D3629" t="str">
        <f t="shared" si="110"/>
        <v>556904</v>
      </c>
      <c r="E3629" t="s">
        <v>2186</v>
      </c>
      <c r="F3629" t="s">
        <v>11</v>
      </c>
    </row>
    <row r="3630" spans="1:6" x14ac:dyDescent="0.25">
      <c r="A3630" t="str">
        <f>"16193601"</f>
        <v>16193601</v>
      </c>
      <c r="B3630" t="s">
        <v>3816</v>
      </c>
      <c r="C3630" t="s">
        <v>7</v>
      </c>
      <c r="D3630" t="str">
        <f t="shared" si="110"/>
        <v>556904</v>
      </c>
      <c r="E3630" t="s">
        <v>2186</v>
      </c>
      <c r="F3630" t="s">
        <v>11</v>
      </c>
    </row>
    <row r="3631" spans="1:6" x14ac:dyDescent="0.25">
      <c r="A3631" t="str">
        <f>"26546736"</f>
        <v>26546736</v>
      </c>
      <c r="B3631" t="s">
        <v>3817</v>
      </c>
      <c r="C3631" t="s">
        <v>7</v>
      </c>
      <c r="D3631" t="str">
        <f t="shared" si="110"/>
        <v>556904</v>
      </c>
      <c r="E3631" t="s">
        <v>2186</v>
      </c>
      <c r="F3631" t="s">
        <v>11</v>
      </c>
    </row>
    <row r="3632" spans="1:6" x14ac:dyDescent="0.25">
      <c r="A3632" t="str">
        <f>"02425203"</f>
        <v>02425203</v>
      </c>
      <c r="B3632" t="s">
        <v>3818</v>
      </c>
      <c r="C3632" t="s">
        <v>7</v>
      </c>
      <c r="D3632" t="str">
        <f t="shared" si="110"/>
        <v>556904</v>
      </c>
      <c r="E3632" t="s">
        <v>2186</v>
      </c>
      <c r="F3632" t="s">
        <v>11</v>
      </c>
    </row>
    <row r="3633" spans="1:6" x14ac:dyDescent="0.25">
      <c r="A3633" t="str">
        <f>"22879463"</f>
        <v>22879463</v>
      </c>
      <c r="B3633" t="s">
        <v>3819</v>
      </c>
      <c r="C3633" t="s">
        <v>7</v>
      </c>
      <c r="D3633" t="str">
        <f t="shared" si="110"/>
        <v>556904</v>
      </c>
      <c r="E3633" t="s">
        <v>2186</v>
      </c>
      <c r="F3633" t="s">
        <v>11</v>
      </c>
    </row>
    <row r="3634" spans="1:6" x14ac:dyDescent="0.25">
      <c r="A3634" t="str">
        <f>"64040411"</f>
        <v>64040411</v>
      </c>
      <c r="B3634" t="s">
        <v>3820</v>
      </c>
      <c r="C3634" t="s">
        <v>15</v>
      </c>
      <c r="D3634" t="str">
        <f t="shared" si="110"/>
        <v>556904</v>
      </c>
      <c r="E3634" t="s">
        <v>2186</v>
      </c>
      <c r="F3634" t="s">
        <v>18</v>
      </c>
    </row>
    <row r="3635" spans="1:6" x14ac:dyDescent="0.25">
      <c r="A3635" t="str">
        <f>"70942145"</f>
        <v>70942145</v>
      </c>
      <c r="B3635" t="s">
        <v>3821</v>
      </c>
      <c r="C3635" t="s">
        <v>15</v>
      </c>
      <c r="D3635" t="str">
        <f t="shared" si="110"/>
        <v>556904</v>
      </c>
      <c r="E3635" t="s">
        <v>2186</v>
      </c>
      <c r="F3635" t="s">
        <v>11</v>
      </c>
    </row>
    <row r="3636" spans="1:6" x14ac:dyDescent="0.25">
      <c r="A3636" t="str">
        <f>"75113252"</f>
        <v>75113252</v>
      </c>
      <c r="B3636" t="s">
        <v>3822</v>
      </c>
      <c r="C3636" t="s">
        <v>15</v>
      </c>
      <c r="D3636" t="str">
        <f t="shared" si="110"/>
        <v>556904</v>
      </c>
      <c r="E3636" t="s">
        <v>2186</v>
      </c>
      <c r="F3636" t="s">
        <v>29</v>
      </c>
    </row>
    <row r="3637" spans="1:6" x14ac:dyDescent="0.25">
      <c r="A3637" t="str">
        <f>"75081229"</f>
        <v>75081229</v>
      </c>
      <c r="B3637" t="s">
        <v>3823</v>
      </c>
      <c r="C3637" t="s">
        <v>15</v>
      </c>
      <c r="D3637" t="str">
        <f t="shared" si="110"/>
        <v>556904</v>
      </c>
      <c r="E3637" t="s">
        <v>2186</v>
      </c>
      <c r="F3637" t="s">
        <v>18</v>
      </c>
    </row>
    <row r="3638" spans="1:6" x14ac:dyDescent="0.25">
      <c r="A3638" t="str">
        <f>"01660781"</f>
        <v>01660781</v>
      </c>
      <c r="B3638" t="s">
        <v>3824</v>
      </c>
      <c r="C3638" t="s">
        <v>20</v>
      </c>
      <c r="D3638" t="str">
        <f t="shared" si="110"/>
        <v>556904</v>
      </c>
      <c r="E3638" t="s">
        <v>2186</v>
      </c>
      <c r="F3638" t="s">
        <v>21</v>
      </c>
    </row>
    <row r="3639" spans="1:6" x14ac:dyDescent="0.25">
      <c r="A3639" t="str">
        <f>"46744436"</f>
        <v>46744436</v>
      </c>
      <c r="B3639" t="s">
        <v>3825</v>
      </c>
      <c r="C3639" t="s">
        <v>20</v>
      </c>
      <c r="D3639" t="str">
        <f t="shared" si="110"/>
        <v>556904</v>
      </c>
      <c r="E3639" t="s">
        <v>2186</v>
      </c>
      <c r="F3639" t="s">
        <v>21</v>
      </c>
    </row>
    <row r="3640" spans="1:6" x14ac:dyDescent="0.25">
      <c r="A3640" t="str">
        <f>"14869381"</f>
        <v>14869381</v>
      </c>
      <c r="B3640" t="s">
        <v>3826</v>
      </c>
      <c r="C3640" t="s">
        <v>20</v>
      </c>
      <c r="D3640" t="str">
        <f t="shared" si="110"/>
        <v>556904</v>
      </c>
      <c r="E3640" t="s">
        <v>2186</v>
      </c>
      <c r="F3640" t="s">
        <v>21</v>
      </c>
    </row>
    <row r="3641" spans="1:6" x14ac:dyDescent="0.25">
      <c r="A3641" t="str">
        <f>"75115794"</f>
        <v>75115794</v>
      </c>
      <c r="B3641" t="s">
        <v>3827</v>
      </c>
      <c r="C3641" t="s">
        <v>20</v>
      </c>
      <c r="D3641" t="str">
        <f t="shared" si="110"/>
        <v>556904</v>
      </c>
      <c r="E3641" t="s">
        <v>2186</v>
      </c>
      <c r="F3641" t="s">
        <v>21</v>
      </c>
    </row>
    <row r="3642" spans="1:6" x14ac:dyDescent="0.25">
      <c r="A3642" t="str">
        <f>"46747621"</f>
        <v>46747621</v>
      </c>
      <c r="B3642" t="s">
        <v>3828</v>
      </c>
      <c r="C3642" t="s">
        <v>20</v>
      </c>
      <c r="D3642" t="str">
        <f t="shared" si="110"/>
        <v>556904</v>
      </c>
      <c r="E3642" t="s">
        <v>2186</v>
      </c>
      <c r="F3642" t="s">
        <v>21</v>
      </c>
    </row>
    <row r="3643" spans="1:6" x14ac:dyDescent="0.25">
      <c r="A3643" t="str">
        <f>"46747613"</f>
        <v>46747613</v>
      </c>
      <c r="B3643" t="s">
        <v>3829</v>
      </c>
      <c r="C3643" t="s">
        <v>20</v>
      </c>
      <c r="D3643" t="str">
        <f t="shared" si="110"/>
        <v>556904</v>
      </c>
      <c r="E3643" t="s">
        <v>2186</v>
      </c>
      <c r="F3643" t="s">
        <v>21</v>
      </c>
    </row>
    <row r="3644" spans="1:6" x14ac:dyDescent="0.25">
      <c r="A3644" t="str">
        <f>"46747605"</f>
        <v>46747605</v>
      </c>
      <c r="B3644" t="s">
        <v>3830</v>
      </c>
      <c r="C3644" t="s">
        <v>20</v>
      </c>
      <c r="D3644" t="str">
        <f t="shared" si="110"/>
        <v>556904</v>
      </c>
      <c r="E3644" t="s">
        <v>2186</v>
      </c>
      <c r="F3644" t="s">
        <v>21</v>
      </c>
    </row>
    <row r="3645" spans="1:6" x14ac:dyDescent="0.25">
      <c r="A3645" t="str">
        <f>"18380611"</f>
        <v>18380611</v>
      </c>
      <c r="B3645" t="s">
        <v>3831</v>
      </c>
      <c r="C3645" t="s">
        <v>20</v>
      </c>
      <c r="D3645" t="str">
        <f t="shared" si="110"/>
        <v>556904</v>
      </c>
      <c r="E3645" t="s">
        <v>2186</v>
      </c>
      <c r="F3645" t="s">
        <v>21</v>
      </c>
    </row>
    <row r="3646" spans="1:6" x14ac:dyDescent="0.25">
      <c r="A3646" t="str">
        <f>"07997990"</f>
        <v>07997990</v>
      </c>
      <c r="B3646" t="s">
        <v>3832</v>
      </c>
      <c r="C3646" t="s">
        <v>20</v>
      </c>
      <c r="D3646" t="str">
        <f t="shared" si="110"/>
        <v>556904</v>
      </c>
      <c r="E3646" t="s">
        <v>2186</v>
      </c>
      <c r="F3646" t="s">
        <v>21</v>
      </c>
    </row>
    <row r="3647" spans="1:6" x14ac:dyDescent="0.25">
      <c r="A3647" t="str">
        <f>"06830676"</f>
        <v>06830676</v>
      </c>
      <c r="B3647" t="s">
        <v>3833</v>
      </c>
      <c r="C3647" t="s">
        <v>20</v>
      </c>
      <c r="D3647" t="str">
        <f t="shared" si="110"/>
        <v>556904</v>
      </c>
      <c r="E3647" t="s">
        <v>2186</v>
      </c>
      <c r="F3647" t="s">
        <v>21</v>
      </c>
    </row>
    <row r="3648" spans="1:6" x14ac:dyDescent="0.25">
      <c r="A3648" t="str">
        <f>"06960570"</f>
        <v>06960570</v>
      </c>
      <c r="B3648" t="s">
        <v>3834</v>
      </c>
      <c r="C3648" t="s">
        <v>20</v>
      </c>
      <c r="D3648" t="str">
        <f t="shared" si="110"/>
        <v>556904</v>
      </c>
      <c r="E3648" t="s">
        <v>2186</v>
      </c>
      <c r="F3648" t="s">
        <v>21</v>
      </c>
    </row>
    <row r="3649" spans="1:6" x14ac:dyDescent="0.25">
      <c r="A3649" t="str">
        <f>"46749489"</f>
        <v>46749489</v>
      </c>
      <c r="B3649" t="s">
        <v>3835</v>
      </c>
      <c r="C3649" t="s">
        <v>20</v>
      </c>
      <c r="D3649" t="str">
        <f t="shared" si="110"/>
        <v>556904</v>
      </c>
      <c r="E3649" t="s">
        <v>2186</v>
      </c>
      <c r="F3649" t="s">
        <v>21</v>
      </c>
    </row>
    <row r="3650" spans="1:6" x14ac:dyDescent="0.25">
      <c r="A3650" t="str">
        <f>"04652436"</f>
        <v>04652436</v>
      </c>
      <c r="B3650" t="s">
        <v>3836</v>
      </c>
      <c r="C3650" t="s">
        <v>20</v>
      </c>
      <c r="D3650" t="str">
        <f t="shared" si="110"/>
        <v>556904</v>
      </c>
      <c r="E3650" t="s">
        <v>2186</v>
      </c>
      <c r="F3650" t="s">
        <v>21</v>
      </c>
    </row>
    <row r="3651" spans="1:6" x14ac:dyDescent="0.25">
      <c r="A3651" t="str">
        <f>"08287236"</f>
        <v>08287236</v>
      </c>
      <c r="B3651" t="s">
        <v>3837</v>
      </c>
      <c r="C3651" t="s">
        <v>20</v>
      </c>
      <c r="D3651" t="str">
        <f t="shared" si="110"/>
        <v>556904</v>
      </c>
      <c r="E3651" t="s">
        <v>2186</v>
      </c>
      <c r="F3651" t="s">
        <v>21</v>
      </c>
    </row>
    <row r="3652" spans="1:6" x14ac:dyDescent="0.25">
      <c r="A3652" t="str">
        <f>"18381880"</f>
        <v>18381880</v>
      </c>
      <c r="B3652" t="s">
        <v>3838</v>
      </c>
      <c r="C3652" t="s">
        <v>20</v>
      </c>
      <c r="D3652" t="str">
        <f t="shared" si="110"/>
        <v>556904</v>
      </c>
      <c r="E3652" t="s">
        <v>2186</v>
      </c>
      <c r="F3652" t="s">
        <v>21</v>
      </c>
    </row>
    <row r="3653" spans="1:6" x14ac:dyDescent="0.25">
      <c r="A3653" t="str">
        <f>"11717351"</f>
        <v>11717351</v>
      </c>
      <c r="B3653" t="s">
        <v>3839</v>
      </c>
      <c r="C3653" t="s">
        <v>20</v>
      </c>
      <c r="D3653" t="str">
        <f t="shared" si="110"/>
        <v>556904</v>
      </c>
      <c r="E3653" t="s">
        <v>2186</v>
      </c>
      <c r="F3653" t="s">
        <v>21</v>
      </c>
    </row>
    <row r="3654" spans="1:6" x14ac:dyDescent="0.25">
      <c r="A3654" t="str">
        <f>"14868148"</f>
        <v>14868148</v>
      </c>
      <c r="B3654" t="s">
        <v>3840</v>
      </c>
      <c r="C3654" t="s">
        <v>20</v>
      </c>
      <c r="D3654" t="str">
        <f t="shared" si="110"/>
        <v>556904</v>
      </c>
      <c r="E3654" t="s">
        <v>2186</v>
      </c>
      <c r="F3654" t="s">
        <v>21</v>
      </c>
    </row>
    <row r="3655" spans="1:6" x14ac:dyDescent="0.25">
      <c r="A3655" t="str">
        <f>"46746994"</f>
        <v>46746994</v>
      </c>
      <c r="B3655" t="s">
        <v>3841</v>
      </c>
      <c r="C3655" t="s">
        <v>20</v>
      </c>
      <c r="D3655" t="str">
        <f t="shared" si="110"/>
        <v>556904</v>
      </c>
      <c r="E3655" t="s">
        <v>2186</v>
      </c>
      <c r="F3655" t="s">
        <v>21</v>
      </c>
    </row>
    <row r="3656" spans="1:6" x14ac:dyDescent="0.25">
      <c r="A3656" t="str">
        <f>"46747681"</f>
        <v>46747681</v>
      </c>
      <c r="B3656" t="s">
        <v>3842</v>
      </c>
      <c r="C3656" t="s">
        <v>20</v>
      </c>
      <c r="D3656" t="str">
        <f t="shared" si="110"/>
        <v>556904</v>
      </c>
      <c r="E3656" t="s">
        <v>2186</v>
      </c>
      <c r="F3656" t="s">
        <v>21</v>
      </c>
    </row>
    <row r="3657" spans="1:6" x14ac:dyDescent="0.25">
      <c r="A3657" t="str">
        <f>"46747702"</f>
        <v>46747702</v>
      </c>
      <c r="B3657" t="s">
        <v>3843</v>
      </c>
      <c r="C3657" t="s">
        <v>20</v>
      </c>
      <c r="D3657" t="str">
        <f t="shared" si="110"/>
        <v>556904</v>
      </c>
      <c r="E3657" t="s">
        <v>2186</v>
      </c>
      <c r="F3657" t="s">
        <v>21</v>
      </c>
    </row>
    <row r="3658" spans="1:6" x14ac:dyDescent="0.25">
      <c r="A3658" t="str">
        <f>"46749870"</f>
        <v>46749870</v>
      </c>
      <c r="B3658" t="s">
        <v>3844</v>
      </c>
      <c r="C3658" t="s">
        <v>20</v>
      </c>
      <c r="D3658" t="str">
        <f t="shared" si="110"/>
        <v>556904</v>
      </c>
      <c r="E3658" t="s">
        <v>2186</v>
      </c>
      <c r="F3658" t="s">
        <v>21</v>
      </c>
    </row>
    <row r="3659" spans="1:6" x14ac:dyDescent="0.25">
      <c r="A3659" t="str">
        <f>"65733061"</f>
        <v>65733061</v>
      </c>
      <c r="B3659" t="s">
        <v>3845</v>
      </c>
      <c r="C3659" t="s">
        <v>20</v>
      </c>
      <c r="D3659" t="str">
        <f t="shared" si="110"/>
        <v>556904</v>
      </c>
      <c r="E3659" t="s">
        <v>2186</v>
      </c>
      <c r="F3659" t="s">
        <v>21</v>
      </c>
    </row>
    <row r="3660" spans="1:6" x14ac:dyDescent="0.25">
      <c r="A3660" t="str">
        <f>"46747940"</f>
        <v>46747940</v>
      </c>
      <c r="B3660" t="s">
        <v>3846</v>
      </c>
      <c r="C3660" t="s">
        <v>20</v>
      </c>
      <c r="D3660" t="str">
        <f t="shared" si="110"/>
        <v>556904</v>
      </c>
      <c r="E3660" t="s">
        <v>2186</v>
      </c>
      <c r="F3660" t="s">
        <v>21</v>
      </c>
    </row>
    <row r="3661" spans="1:6" x14ac:dyDescent="0.25">
      <c r="A3661" t="str">
        <f>"01662589"</f>
        <v>01662589</v>
      </c>
      <c r="B3661" t="s">
        <v>3847</v>
      </c>
      <c r="C3661" t="s">
        <v>20</v>
      </c>
      <c r="D3661" t="str">
        <f t="shared" si="110"/>
        <v>556904</v>
      </c>
      <c r="E3661" t="s">
        <v>2186</v>
      </c>
      <c r="F3661" t="s">
        <v>21</v>
      </c>
    </row>
    <row r="3662" spans="1:6" x14ac:dyDescent="0.25">
      <c r="A3662" t="str">
        <f>"44225415"</f>
        <v>44225415</v>
      </c>
      <c r="B3662" t="s">
        <v>3848</v>
      </c>
      <c r="C3662" t="s">
        <v>20</v>
      </c>
      <c r="D3662" t="str">
        <f t="shared" si="110"/>
        <v>556904</v>
      </c>
      <c r="E3662" t="s">
        <v>2186</v>
      </c>
      <c r="F3662" t="s">
        <v>21</v>
      </c>
    </row>
    <row r="3663" spans="1:6" x14ac:dyDescent="0.25">
      <c r="A3663" t="str">
        <f>"41326598"</f>
        <v>41326598</v>
      </c>
      <c r="B3663" t="s">
        <v>3849</v>
      </c>
      <c r="C3663" t="s">
        <v>20</v>
      </c>
      <c r="D3663" t="str">
        <f t="shared" si="110"/>
        <v>556904</v>
      </c>
      <c r="E3663" t="s">
        <v>2186</v>
      </c>
      <c r="F3663" t="s">
        <v>21</v>
      </c>
    </row>
    <row r="3664" spans="1:6" x14ac:dyDescent="0.25">
      <c r="A3664" t="str">
        <f>"71200371"</f>
        <v>71200371</v>
      </c>
      <c r="B3664" t="s">
        <v>3850</v>
      </c>
      <c r="C3664" t="s">
        <v>20</v>
      </c>
      <c r="D3664" t="str">
        <f t="shared" si="110"/>
        <v>556904</v>
      </c>
      <c r="E3664" t="s">
        <v>2186</v>
      </c>
      <c r="F3664" t="s">
        <v>21</v>
      </c>
    </row>
    <row r="3665" spans="1:6" x14ac:dyDescent="0.25">
      <c r="A3665" t="str">
        <f>"22843817"</f>
        <v>22843817</v>
      </c>
      <c r="B3665" t="s">
        <v>3851</v>
      </c>
      <c r="C3665" t="s">
        <v>20</v>
      </c>
      <c r="D3665" t="str">
        <f t="shared" si="110"/>
        <v>556904</v>
      </c>
      <c r="E3665" t="s">
        <v>2186</v>
      </c>
      <c r="F3665" t="s">
        <v>21</v>
      </c>
    </row>
    <row r="3666" spans="1:6" x14ac:dyDescent="0.25">
      <c r="A3666" t="str">
        <f>"75095921"</f>
        <v>75095921</v>
      </c>
      <c r="B3666" t="s">
        <v>3852</v>
      </c>
      <c r="C3666" t="s">
        <v>20</v>
      </c>
      <c r="D3666" t="str">
        <f t="shared" si="110"/>
        <v>556904</v>
      </c>
      <c r="E3666" t="s">
        <v>2186</v>
      </c>
      <c r="F3666" t="s">
        <v>21</v>
      </c>
    </row>
    <row r="3667" spans="1:6" x14ac:dyDescent="0.25">
      <c r="A3667" t="str">
        <f>"46745530"</f>
        <v>46745530</v>
      </c>
      <c r="B3667" t="s">
        <v>3853</v>
      </c>
      <c r="C3667" t="s">
        <v>20</v>
      </c>
      <c r="D3667" t="str">
        <f t="shared" si="110"/>
        <v>556904</v>
      </c>
      <c r="E3667" t="s">
        <v>2186</v>
      </c>
      <c r="F3667" t="s">
        <v>21</v>
      </c>
    </row>
    <row r="3668" spans="1:6" x14ac:dyDescent="0.25">
      <c r="A3668" t="str">
        <f>"46749039"</f>
        <v>46749039</v>
      </c>
      <c r="B3668" t="s">
        <v>3854</v>
      </c>
      <c r="C3668" t="s">
        <v>20</v>
      </c>
      <c r="D3668" t="str">
        <f t="shared" si="110"/>
        <v>556904</v>
      </c>
      <c r="E3668" t="s">
        <v>2186</v>
      </c>
      <c r="F3668" t="s">
        <v>21</v>
      </c>
    </row>
    <row r="3669" spans="1:6" x14ac:dyDescent="0.25">
      <c r="A3669" t="str">
        <f>"46749004"</f>
        <v>46749004</v>
      </c>
      <c r="B3669" t="s">
        <v>3855</v>
      </c>
      <c r="C3669" t="s">
        <v>20</v>
      </c>
      <c r="D3669" t="str">
        <f t="shared" si="110"/>
        <v>556904</v>
      </c>
      <c r="E3669" t="s">
        <v>2186</v>
      </c>
      <c r="F3669" t="s">
        <v>21</v>
      </c>
    </row>
    <row r="3670" spans="1:6" x14ac:dyDescent="0.25">
      <c r="A3670" t="str">
        <f>"60502193"</f>
        <v>60502193</v>
      </c>
      <c r="B3670" t="s">
        <v>3856</v>
      </c>
      <c r="C3670" t="s">
        <v>20</v>
      </c>
      <c r="D3670" t="str">
        <f t="shared" si="110"/>
        <v>556904</v>
      </c>
      <c r="E3670" t="s">
        <v>2186</v>
      </c>
      <c r="F3670" t="s">
        <v>21</v>
      </c>
    </row>
    <row r="3671" spans="1:6" x14ac:dyDescent="0.25">
      <c r="A3671" t="str">
        <f>"46749136"</f>
        <v>46749136</v>
      </c>
      <c r="B3671" t="s">
        <v>3857</v>
      </c>
      <c r="C3671" t="s">
        <v>20</v>
      </c>
      <c r="D3671" t="str">
        <f t="shared" si="110"/>
        <v>556904</v>
      </c>
      <c r="E3671" t="s">
        <v>2186</v>
      </c>
      <c r="F3671" t="s">
        <v>21</v>
      </c>
    </row>
    <row r="3672" spans="1:6" x14ac:dyDescent="0.25">
      <c r="A3672" t="str">
        <f>"46748822"</f>
        <v>46748822</v>
      </c>
      <c r="B3672" t="s">
        <v>3858</v>
      </c>
      <c r="C3672" t="s">
        <v>20</v>
      </c>
      <c r="D3672" t="str">
        <f t="shared" si="110"/>
        <v>556904</v>
      </c>
      <c r="E3672" t="s">
        <v>2186</v>
      </c>
      <c r="F3672" t="s">
        <v>21</v>
      </c>
    </row>
    <row r="3673" spans="1:6" x14ac:dyDescent="0.25">
      <c r="A3673" t="str">
        <f>"46748733"</f>
        <v>46748733</v>
      </c>
      <c r="B3673" t="s">
        <v>3859</v>
      </c>
      <c r="C3673" t="s">
        <v>20</v>
      </c>
      <c r="D3673" t="str">
        <f t="shared" si="110"/>
        <v>556904</v>
      </c>
      <c r="E3673" t="s">
        <v>2186</v>
      </c>
      <c r="F3673" t="s">
        <v>21</v>
      </c>
    </row>
    <row r="3674" spans="1:6" x14ac:dyDescent="0.25">
      <c r="A3674" t="str">
        <f>"46748695"</f>
        <v>46748695</v>
      </c>
      <c r="B3674" t="s">
        <v>3860</v>
      </c>
      <c r="C3674" t="s">
        <v>20</v>
      </c>
      <c r="D3674" t="str">
        <f t="shared" si="110"/>
        <v>556904</v>
      </c>
      <c r="E3674" t="s">
        <v>2186</v>
      </c>
      <c r="F3674" t="s">
        <v>21</v>
      </c>
    </row>
    <row r="3675" spans="1:6" x14ac:dyDescent="0.25">
      <c r="A3675" t="str">
        <f>"71167005"</f>
        <v>71167005</v>
      </c>
      <c r="B3675" t="s">
        <v>3861</v>
      </c>
      <c r="C3675" t="s">
        <v>20</v>
      </c>
      <c r="D3675" t="str">
        <f t="shared" si="110"/>
        <v>556904</v>
      </c>
      <c r="E3675" t="s">
        <v>2186</v>
      </c>
      <c r="F3675" t="s">
        <v>21</v>
      </c>
    </row>
    <row r="3676" spans="1:6" x14ac:dyDescent="0.25">
      <c r="A3676" t="str">
        <f>"23042940"</f>
        <v>23042940</v>
      </c>
      <c r="B3676" t="s">
        <v>3862</v>
      </c>
      <c r="C3676" t="s">
        <v>20</v>
      </c>
      <c r="D3676" t="str">
        <f t="shared" si="110"/>
        <v>556904</v>
      </c>
      <c r="E3676" t="s">
        <v>2186</v>
      </c>
      <c r="F3676" t="s">
        <v>21</v>
      </c>
    </row>
    <row r="3677" spans="1:6" x14ac:dyDescent="0.25">
      <c r="A3677" t="str">
        <f>"23043075"</f>
        <v>23043075</v>
      </c>
      <c r="B3677" t="s">
        <v>3863</v>
      </c>
      <c r="C3677" t="s">
        <v>20</v>
      </c>
      <c r="D3677" t="str">
        <f t="shared" si="110"/>
        <v>556904</v>
      </c>
      <c r="E3677" t="s">
        <v>2186</v>
      </c>
      <c r="F3677" t="s">
        <v>21</v>
      </c>
    </row>
    <row r="3678" spans="1:6" x14ac:dyDescent="0.25">
      <c r="A3678" t="str">
        <f>"65736893"</f>
        <v>65736893</v>
      </c>
      <c r="B3678" t="s">
        <v>3864</v>
      </c>
      <c r="C3678" t="s">
        <v>20</v>
      </c>
      <c r="D3678" t="str">
        <f t="shared" si="110"/>
        <v>556904</v>
      </c>
      <c r="E3678" t="s">
        <v>2186</v>
      </c>
      <c r="F3678" t="s">
        <v>21</v>
      </c>
    </row>
    <row r="3679" spans="1:6" x14ac:dyDescent="0.25">
      <c r="A3679" t="str">
        <f>"22611614"</f>
        <v>22611614</v>
      </c>
      <c r="B3679" t="s">
        <v>3865</v>
      </c>
      <c r="C3679" t="s">
        <v>20</v>
      </c>
      <c r="D3679" t="str">
        <f t="shared" si="110"/>
        <v>556904</v>
      </c>
      <c r="E3679" t="s">
        <v>2186</v>
      </c>
      <c r="F3679" t="s">
        <v>21</v>
      </c>
    </row>
    <row r="3680" spans="1:6" x14ac:dyDescent="0.25">
      <c r="A3680" t="str">
        <f>"46747591"</f>
        <v>46747591</v>
      </c>
      <c r="B3680" t="s">
        <v>3866</v>
      </c>
      <c r="C3680" t="s">
        <v>20</v>
      </c>
      <c r="D3680" t="str">
        <f t="shared" si="110"/>
        <v>556904</v>
      </c>
      <c r="E3680" t="s">
        <v>2186</v>
      </c>
      <c r="F3680" t="s">
        <v>21</v>
      </c>
    </row>
    <row r="3681" spans="1:6" x14ac:dyDescent="0.25">
      <c r="A3681" t="str">
        <f>"70849404"</f>
        <v>70849404</v>
      </c>
      <c r="B3681" t="s">
        <v>3867</v>
      </c>
      <c r="C3681" t="s">
        <v>20</v>
      </c>
      <c r="D3681" t="str">
        <f t="shared" si="110"/>
        <v>556904</v>
      </c>
      <c r="E3681" t="s">
        <v>2186</v>
      </c>
      <c r="F3681" t="s">
        <v>21</v>
      </c>
    </row>
    <row r="3682" spans="1:6" x14ac:dyDescent="0.25">
      <c r="A3682" t="str">
        <f>"26524805"</f>
        <v>26524805</v>
      </c>
      <c r="B3682" t="s">
        <v>3868</v>
      </c>
      <c r="C3682" t="s">
        <v>7</v>
      </c>
      <c r="D3682" t="str">
        <f t="shared" si="110"/>
        <v>556904</v>
      </c>
      <c r="E3682" t="s">
        <v>2186</v>
      </c>
      <c r="F3682" t="s">
        <v>11</v>
      </c>
    </row>
    <row r="3683" spans="1:6" x14ac:dyDescent="0.25">
      <c r="A3683" t="str">
        <f>"46749772"</f>
        <v>46749772</v>
      </c>
      <c r="B3683" t="s">
        <v>3869</v>
      </c>
      <c r="C3683" t="s">
        <v>7</v>
      </c>
      <c r="D3683" t="str">
        <f t="shared" si="110"/>
        <v>556904</v>
      </c>
      <c r="E3683" t="s">
        <v>2186</v>
      </c>
      <c r="F3683" t="s">
        <v>11</v>
      </c>
    </row>
    <row r="3684" spans="1:6" x14ac:dyDescent="0.25">
      <c r="A3684" t="str">
        <f>"09816496"</f>
        <v>09816496</v>
      </c>
      <c r="B3684" t="s">
        <v>3870</v>
      </c>
      <c r="C3684" t="s">
        <v>7</v>
      </c>
      <c r="D3684" t="str">
        <f t="shared" si="110"/>
        <v>556904</v>
      </c>
      <c r="E3684" t="s">
        <v>2186</v>
      </c>
      <c r="F3684" t="s">
        <v>11</v>
      </c>
    </row>
    <row r="3685" spans="1:6" x14ac:dyDescent="0.25">
      <c r="A3685" t="str">
        <f>"44224371"</f>
        <v>44224371</v>
      </c>
      <c r="B3685" t="s">
        <v>3871</v>
      </c>
      <c r="C3685" t="s">
        <v>43</v>
      </c>
      <c r="D3685" t="str">
        <f t="shared" si="110"/>
        <v>556904</v>
      </c>
      <c r="E3685" t="s">
        <v>2186</v>
      </c>
      <c r="F3685" t="s">
        <v>44</v>
      </c>
    </row>
    <row r="3686" spans="1:6" x14ac:dyDescent="0.25">
      <c r="A3686" t="str">
        <f>"05973295"</f>
        <v>05973295</v>
      </c>
      <c r="B3686" t="s">
        <v>3872</v>
      </c>
      <c r="C3686" t="s">
        <v>7</v>
      </c>
      <c r="D3686" t="str">
        <f t="shared" si="110"/>
        <v>556904</v>
      </c>
      <c r="E3686" t="s">
        <v>2186</v>
      </c>
      <c r="F3686" t="s">
        <v>62</v>
      </c>
    </row>
    <row r="3687" spans="1:6" x14ac:dyDescent="0.25">
      <c r="A3687" t="str">
        <f>"05716390"</f>
        <v>05716390</v>
      </c>
      <c r="B3687" t="s">
        <v>3873</v>
      </c>
      <c r="C3687" t="s">
        <v>7</v>
      </c>
      <c r="D3687" t="str">
        <f t="shared" si="110"/>
        <v>556904</v>
      </c>
      <c r="E3687" t="s">
        <v>2186</v>
      </c>
      <c r="F3687" t="s">
        <v>11</v>
      </c>
    </row>
    <row r="3688" spans="1:6" x14ac:dyDescent="0.25">
      <c r="A3688" t="str">
        <f>"26605627"</f>
        <v>26605627</v>
      </c>
      <c r="B3688" t="s">
        <v>3874</v>
      </c>
      <c r="C3688" t="s">
        <v>7</v>
      </c>
      <c r="D3688" t="str">
        <f t="shared" ref="D3688:D3693" si="111">"556904"</f>
        <v>556904</v>
      </c>
      <c r="E3688" t="s">
        <v>2186</v>
      </c>
      <c r="F3688" t="s">
        <v>11</v>
      </c>
    </row>
    <row r="3689" spans="1:6" x14ac:dyDescent="0.25">
      <c r="A3689" t="str">
        <f>"19469411"</f>
        <v>19469411</v>
      </c>
      <c r="B3689" t="s">
        <v>3875</v>
      </c>
      <c r="C3689" t="s">
        <v>7</v>
      </c>
      <c r="D3689" t="str">
        <f t="shared" si="111"/>
        <v>556904</v>
      </c>
      <c r="E3689" t="s">
        <v>2186</v>
      </c>
      <c r="F3689" t="s">
        <v>62</v>
      </c>
    </row>
    <row r="3690" spans="1:6" x14ac:dyDescent="0.25">
      <c r="A3690" t="str">
        <f>"26990369"</f>
        <v>26990369</v>
      </c>
      <c r="B3690" t="s">
        <v>3876</v>
      </c>
      <c r="C3690" t="s">
        <v>7</v>
      </c>
      <c r="D3690" t="str">
        <f t="shared" si="111"/>
        <v>556904</v>
      </c>
      <c r="E3690" t="s">
        <v>2186</v>
      </c>
      <c r="F3690" t="s">
        <v>11</v>
      </c>
    </row>
    <row r="3691" spans="1:6" x14ac:dyDescent="0.25">
      <c r="A3691" t="str">
        <f>"08994668"</f>
        <v>08994668</v>
      </c>
      <c r="B3691" t="s">
        <v>3877</v>
      </c>
      <c r="C3691" t="s">
        <v>7</v>
      </c>
      <c r="D3691" t="str">
        <f t="shared" si="111"/>
        <v>556904</v>
      </c>
      <c r="E3691" t="s">
        <v>2186</v>
      </c>
      <c r="F3691" t="s">
        <v>35</v>
      </c>
    </row>
    <row r="3692" spans="1:6" x14ac:dyDescent="0.25">
      <c r="A3692" t="str">
        <f>"26610027"</f>
        <v>26610027</v>
      </c>
      <c r="B3692" t="s">
        <v>3878</v>
      </c>
      <c r="C3692" t="s">
        <v>7</v>
      </c>
      <c r="D3692" t="str">
        <f t="shared" si="111"/>
        <v>556904</v>
      </c>
      <c r="E3692" t="s">
        <v>2186</v>
      </c>
      <c r="F3692" t="s">
        <v>9</v>
      </c>
    </row>
    <row r="3693" spans="1:6" x14ac:dyDescent="0.25">
      <c r="A3693" t="str">
        <f>"43225683"</f>
        <v>43225683</v>
      </c>
      <c r="B3693" t="s">
        <v>3879</v>
      </c>
      <c r="C3693" t="s">
        <v>15</v>
      </c>
      <c r="D3693" t="str">
        <f t="shared" si="111"/>
        <v>556904</v>
      </c>
      <c r="E3693" t="s">
        <v>2186</v>
      </c>
      <c r="F3693" t="s">
        <v>18</v>
      </c>
    </row>
    <row r="3694" spans="1:6" x14ac:dyDescent="0.25">
      <c r="A3694" t="str">
        <f>"08281122"</f>
        <v>08281122</v>
      </c>
      <c r="B3694" t="s">
        <v>3880</v>
      </c>
      <c r="C3694" t="s">
        <v>7</v>
      </c>
      <c r="D3694" t="str">
        <f t="shared" ref="D3694:D3725" si="112">"556891"</f>
        <v>556891</v>
      </c>
      <c r="E3694" t="s">
        <v>3881</v>
      </c>
      <c r="F3694" t="s">
        <v>137</v>
      </c>
    </row>
    <row r="3695" spans="1:6" x14ac:dyDescent="0.25">
      <c r="A3695" t="str">
        <f>"06778810"</f>
        <v>06778810</v>
      </c>
      <c r="B3695" t="s">
        <v>3882</v>
      </c>
      <c r="C3695" t="s">
        <v>7</v>
      </c>
      <c r="D3695" t="str">
        <f t="shared" si="112"/>
        <v>556891</v>
      </c>
      <c r="E3695" t="s">
        <v>3881</v>
      </c>
      <c r="F3695" t="s">
        <v>62</v>
      </c>
    </row>
    <row r="3696" spans="1:6" x14ac:dyDescent="0.25">
      <c r="A3696" t="str">
        <f>"01897365"</f>
        <v>01897365</v>
      </c>
      <c r="B3696" t="s">
        <v>3883</v>
      </c>
      <c r="C3696" t="s">
        <v>7</v>
      </c>
      <c r="D3696" t="str">
        <f t="shared" si="112"/>
        <v>556891</v>
      </c>
      <c r="E3696" t="s">
        <v>3881</v>
      </c>
      <c r="F3696" t="s">
        <v>29</v>
      </c>
    </row>
    <row r="3697" spans="1:6" x14ac:dyDescent="0.25">
      <c r="A3697" t="str">
        <f>"14265451"</f>
        <v>14265451</v>
      </c>
      <c r="B3697" t="s">
        <v>3884</v>
      </c>
      <c r="C3697" t="s">
        <v>7</v>
      </c>
      <c r="D3697" t="str">
        <f t="shared" si="112"/>
        <v>556891</v>
      </c>
      <c r="E3697" t="s">
        <v>3881</v>
      </c>
      <c r="F3697" t="s">
        <v>62</v>
      </c>
    </row>
    <row r="3698" spans="1:6" x14ac:dyDescent="0.25">
      <c r="A3698" t="str">
        <f>"75078023"</f>
        <v>75078023</v>
      </c>
      <c r="B3698" t="s">
        <v>3885</v>
      </c>
      <c r="C3698" t="s">
        <v>15</v>
      </c>
      <c r="D3698" t="str">
        <f t="shared" si="112"/>
        <v>556891</v>
      </c>
      <c r="E3698" t="s">
        <v>3881</v>
      </c>
      <c r="F3698" t="s">
        <v>139</v>
      </c>
    </row>
    <row r="3699" spans="1:6" x14ac:dyDescent="0.25">
      <c r="A3699" t="str">
        <f>"07520697"</f>
        <v>07520697</v>
      </c>
      <c r="B3699" t="s">
        <v>3886</v>
      </c>
      <c r="C3699" t="s">
        <v>7</v>
      </c>
      <c r="D3699" t="str">
        <f t="shared" si="112"/>
        <v>556891</v>
      </c>
      <c r="E3699" t="s">
        <v>3881</v>
      </c>
      <c r="F3699" t="s">
        <v>139</v>
      </c>
    </row>
    <row r="3700" spans="1:6" x14ac:dyDescent="0.25">
      <c r="A3700" t="str">
        <f>"26652838"</f>
        <v>26652838</v>
      </c>
      <c r="B3700" t="s">
        <v>3887</v>
      </c>
      <c r="C3700" t="s">
        <v>7</v>
      </c>
      <c r="D3700" t="str">
        <f t="shared" si="112"/>
        <v>556891</v>
      </c>
      <c r="E3700" t="s">
        <v>3881</v>
      </c>
      <c r="F3700" t="s">
        <v>11</v>
      </c>
    </row>
    <row r="3701" spans="1:6" x14ac:dyDescent="0.25">
      <c r="A3701" t="str">
        <f>"04759583"</f>
        <v>04759583</v>
      </c>
      <c r="B3701" t="s">
        <v>3888</v>
      </c>
      <c r="C3701" t="s">
        <v>7</v>
      </c>
      <c r="D3701" t="str">
        <f t="shared" si="112"/>
        <v>556891</v>
      </c>
      <c r="E3701" t="s">
        <v>3881</v>
      </c>
      <c r="F3701" t="s">
        <v>11</v>
      </c>
    </row>
    <row r="3702" spans="1:6" x14ac:dyDescent="0.25">
      <c r="A3702" t="str">
        <f>"22831801"</f>
        <v>22831801</v>
      </c>
      <c r="B3702" t="s">
        <v>3889</v>
      </c>
      <c r="C3702" t="s">
        <v>7</v>
      </c>
      <c r="D3702" t="str">
        <f t="shared" si="112"/>
        <v>556891</v>
      </c>
      <c r="E3702" t="s">
        <v>3881</v>
      </c>
      <c r="F3702" t="s">
        <v>35</v>
      </c>
    </row>
    <row r="3703" spans="1:6" x14ac:dyDescent="0.25">
      <c r="A3703" t="str">
        <f>"02288087"</f>
        <v>02288087</v>
      </c>
      <c r="B3703" t="s">
        <v>3890</v>
      </c>
      <c r="C3703" t="s">
        <v>7</v>
      </c>
      <c r="D3703" t="str">
        <f t="shared" si="112"/>
        <v>556891</v>
      </c>
      <c r="E3703" t="s">
        <v>3881</v>
      </c>
      <c r="F3703" t="s">
        <v>11</v>
      </c>
    </row>
    <row r="3704" spans="1:6" x14ac:dyDescent="0.25">
      <c r="A3704" t="str">
        <f>"04295285"</f>
        <v>04295285</v>
      </c>
      <c r="B3704" t="s">
        <v>3891</v>
      </c>
      <c r="C3704" t="s">
        <v>7</v>
      </c>
      <c r="D3704" t="str">
        <f t="shared" si="112"/>
        <v>556891</v>
      </c>
      <c r="E3704" t="s">
        <v>3881</v>
      </c>
      <c r="F3704" t="s">
        <v>11</v>
      </c>
    </row>
    <row r="3705" spans="1:6" x14ac:dyDescent="0.25">
      <c r="A3705" t="str">
        <f>"25472356"</f>
        <v>25472356</v>
      </c>
      <c r="B3705" t="s">
        <v>3892</v>
      </c>
      <c r="C3705" t="s">
        <v>78</v>
      </c>
      <c r="D3705" t="str">
        <f t="shared" si="112"/>
        <v>556891</v>
      </c>
      <c r="E3705" t="s">
        <v>3881</v>
      </c>
      <c r="F3705" t="s">
        <v>3238</v>
      </c>
    </row>
    <row r="3706" spans="1:6" x14ac:dyDescent="0.25">
      <c r="A3706" t="str">
        <f>"26549646"</f>
        <v>26549646</v>
      </c>
      <c r="B3706" t="s">
        <v>3893</v>
      </c>
      <c r="C3706" t="s">
        <v>7</v>
      </c>
      <c r="D3706" t="str">
        <f t="shared" si="112"/>
        <v>556891</v>
      </c>
      <c r="E3706" t="s">
        <v>3881</v>
      </c>
      <c r="F3706" t="s">
        <v>11</v>
      </c>
    </row>
    <row r="3707" spans="1:6" x14ac:dyDescent="0.25">
      <c r="A3707" t="str">
        <f>"09654844"</f>
        <v>09654844</v>
      </c>
      <c r="B3707" t="s">
        <v>3894</v>
      </c>
      <c r="C3707" t="s">
        <v>7</v>
      </c>
      <c r="D3707" t="str">
        <f t="shared" si="112"/>
        <v>556891</v>
      </c>
      <c r="E3707" t="s">
        <v>3881</v>
      </c>
      <c r="F3707" t="s">
        <v>62</v>
      </c>
    </row>
    <row r="3708" spans="1:6" x14ac:dyDescent="0.25">
      <c r="A3708" t="str">
        <f>"66112711"</f>
        <v>66112711</v>
      </c>
      <c r="B3708" t="s">
        <v>3895</v>
      </c>
      <c r="C3708" t="s">
        <v>15</v>
      </c>
      <c r="D3708" t="str">
        <f t="shared" si="112"/>
        <v>556891</v>
      </c>
      <c r="E3708" t="s">
        <v>3881</v>
      </c>
      <c r="F3708" t="s">
        <v>11</v>
      </c>
    </row>
    <row r="3709" spans="1:6" x14ac:dyDescent="0.25">
      <c r="A3709" t="str">
        <f>"64040763"</f>
        <v>64040763</v>
      </c>
      <c r="B3709" t="s">
        <v>3896</v>
      </c>
      <c r="C3709" t="s">
        <v>15</v>
      </c>
      <c r="D3709" t="str">
        <f t="shared" si="112"/>
        <v>556891</v>
      </c>
      <c r="E3709" t="s">
        <v>3881</v>
      </c>
      <c r="F3709" t="s">
        <v>29</v>
      </c>
    </row>
    <row r="3710" spans="1:6" x14ac:dyDescent="0.25">
      <c r="A3710" t="str">
        <f>"64040381"</f>
        <v>64040381</v>
      </c>
      <c r="B3710" t="s">
        <v>3897</v>
      </c>
      <c r="C3710" t="s">
        <v>15</v>
      </c>
      <c r="D3710" t="str">
        <f t="shared" si="112"/>
        <v>556891</v>
      </c>
      <c r="E3710" t="s">
        <v>3881</v>
      </c>
      <c r="F3710" t="s">
        <v>29</v>
      </c>
    </row>
    <row r="3711" spans="1:6" x14ac:dyDescent="0.25">
      <c r="A3711" t="str">
        <f>"70695466"</f>
        <v>70695466</v>
      </c>
      <c r="B3711" t="s">
        <v>3898</v>
      </c>
      <c r="C3711" t="s">
        <v>15</v>
      </c>
      <c r="D3711" t="str">
        <f t="shared" si="112"/>
        <v>556891</v>
      </c>
      <c r="E3711" t="s">
        <v>3881</v>
      </c>
      <c r="F3711" t="s">
        <v>62</v>
      </c>
    </row>
    <row r="3712" spans="1:6" x14ac:dyDescent="0.25">
      <c r="A3712" t="str">
        <f>"22676422"</f>
        <v>22676422</v>
      </c>
      <c r="B3712" t="s">
        <v>3899</v>
      </c>
      <c r="C3712" t="s">
        <v>7</v>
      </c>
      <c r="D3712" t="str">
        <f t="shared" si="112"/>
        <v>556891</v>
      </c>
      <c r="E3712" t="s">
        <v>3881</v>
      </c>
      <c r="F3712" t="s">
        <v>11</v>
      </c>
    </row>
    <row r="3713" spans="1:6" x14ac:dyDescent="0.25">
      <c r="A3713" t="str">
        <f>"72079983"</f>
        <v>72079983</v>
      </c>
      <c r="B3713" t="s">
        <v>3900</v>
      </c>
      <c r="C3713" t="s">
        <v>15</v>
      </c>
      <c r="D3713" t="str">
        <f t="shared" si="112"/>
        <v>556891</v>
      </c>
      <c r="E3713" t="s">
        <v>3881</v>
      </c>
      <c r="F3713" t="s">
        <v>11</v>
      </c>
    </row>
    <row r="3714" spans="1:6" x14ac:dyDescent="0.25">
      <c r="A3714" t="str">
        <f>"27012441"</f>
        <v>27012441</v>
      </c>
      <c r="B3714" t="s">
        <v>3901</v>
      </c>
      <c r="C3714" t="s">
        <v>7</v>
      </c>
      <c r="D3714" t="str">
        <f t="shared" si="112"/>
        <v>556891</v>
      </c>
      <c r="E3714" t="s">
        <v>3881</v>
      </c>
      <c r="F3714" t="s">
        <v>11</v>
      </c>
    </row>
    <row r="3715" spans="1:6" x14ac:dyDescent="0.25">
      <c r="A3715" t="str">
        <f>"22885501"</f>
        <v>22885501</v>
      </c>
      <c r="B3715" t="s">
        <v>3902</v>
      </c>
      <c r="C3715" t="s">
        <v>7</v>
      </c>
      <c r="D3715" t="str">
        <f t="shared" si="112"/>
        <v>556891</v>
      </c>
      <c r="E3715" t="s">
        <v>3881</v>
      </c>
      <c r="F3715" t="s">
        <v>11</v>
      </c>
    </row>
    <row r="3716" spans="1:6" x14ac:dyDescent="0.25">
      <c r="A3716" t="str">
        <f>"02864711"</f>
        <v>02864711</v>
      </c>
      <c r="B3716" t="s">
        <v>3903</v>
      </c>
      <c r="C3716" t="s">
        <v>43</v>
      </c>
      <c r="D3716" t="str">
        <f t="shared" si="112"/>
        <v>556891</v>
      </c>
      <c r="E3716" t="s">
        <v>3881</v>
      </c>
      <c r="F3716" t="s">
        <v>44</v>
      </c>
    </row>
    <row r="3717" spans="1:6" x14ac:dyDescent="0.25">
      <c r="A3717" t="str">
        <f>"22752765"</f>
        <v>22752765</v>
      </c>
      <c r="B3717" t="s">
        <v>3904</v>
      </c>
      <c r="C3717" t="s">
        <v>7</v>
      </c>
      <c r="D3717" t="str">
        <f t="shared" si="112"/>
        <v>556891</v>
      </c>
      <c r="E3717" t="s">
        <v>3881</v>
      </c>
      <c r="F3717" t="s">
        <v>29</v>
      </c>
    </row>
    <row r="3718" spans="1:6" x14ac:dyDescent="0.25">
      <c r="A3718" t="str">
        <f>"25043510"</f>
        <v>25043510</v>
      </c>
      <c r="B3718" t="s">
        <v>3905</v>
      </c>
      <c r="C3718" t="s">
        <v>78</v>
      </c>
      <c r="D3718" t="str">
        <f t="shared" si="112"/>
        <v>556891</v>
      </c>
      <c r="E3718" t="s">
        <v>3881</v>
      </c>
      <c r="F3718" t="s">
        <v>3906</v>
      </c>
    </row>
    <row r="3719" spans="1:6" x14ac:dyDescent="0.25">
      <c r="A3719" t="str">
        <f>"04747283"</f>
        <v>04747283</v>
      </c>
      <c r="B3719" t="s">
        <v>3907</v>
      </c>
      <c r="C3719" t="s">
        <v>7</v>
      </c>
      <c r="D3719" t="str">
        <f t="shared" si="112"/>
        <v>556891</v>
      </c>
      <c r="E3719" t="s">
        <v>3881</v>
      </c>
      <c r="F3719" t="s">
        <v>35</v>
      </c>
    </row>
    <row r="3720" spans="1:6" x14ac:dyDescent="0.25">
      <c r="A3720" t="str">
        <f>"46749420"</f>
        <v>46749420</v>
      </c>
      <c r="B3720" t="s">
        <v>3908</v>
      </c>
      <c r="C3720" t="s">
        <v>15</v>
      </c>
      <c r="D3720" t="str">
        <f t="shared" si="112"/>
        <v>556891</v>
      </c>
      <c r="E3720" t="s">
        <v>3881</v>
      </c>
      <c r="F3720" t="s">
        <v>139</v>
      </c>
    </row>
    <row r="3721" spans="1:6" x14ac:dyDescent="0.25">
      <c r="A3721" t="str">
        <f>"46747095"</f>
        <v>46747095</v>
      </c>
      <c r="B3721" t="s">
        <v>3909</v>
      </c>
      <c r="C3721" t="s">
        <v>7</v>
      </c>
      <c r="D3721" t="str">
        <f t="shared" si="112"/>
        <v>556891</v>
      </c>
      <c r="E3721" t="s">
        <v>3881</v>
      </c>
      <c r="F3721" t="s">
        <v>9</v>
      </c>
    </row>
    <row r="3722" spans="1:6" x14ac:dyDescent="0.25">
      <c r="A3722" t="str">
        <f>"07757441"</f>
        <v>07757441</v>
      </c>
      <c r="B3722" t="s">
        <v>3910</v>
      </c>
      <c r="C3722" t="s">
        <v>7</v>
      </c>
      <c r="D3722" t="str">
        <f t="shared" si="112"/>
        <v>556891</v>
      </c>
      <c r="E3722" t="s">
        <v>3881</v>
      </c>
      <c r="F3722" t="s">
        <v>29</v>
      </c>
    </row>
    <row r="3723" spans="1:6" x14ac:dyDescent="0.25">
      <c r="A3723" t="str">
        <f>"22908901"</f>
        <v>22908901</v>
      </c>
      <c r="B3723" t="s">
        <v>3911</v>
      </c>
      <c r="C3723" t="s">
        <v>7</v>
      </c>
      <c r="D3723" t="str">
        <f t="shared" si="112"/>
        <v>556891</v>
      </c>
      <c r="E3723" t="s">
        <v>3881</v>
      </c>
      <c r="F3723" t="s">
        <v>9</v>
      </c>
    </row>
    <row r="3724" spans="1:6" x14ac:dyDescent="0.25">
      <c r="A3724" t="str">
        <f>"65100735"</f>
        <v>65100735</v>
      </c>
      <c r="B3724" t="s">
        <v>3912</v>
      </c>
      <c r="C3724" t="s">
        <v>7</v>
      </c>
      <c r="D3724" t="str">
        <f t="shared" si="112"/>
        <v>556891</v>
      </c>
      <c r="E3724" t="s">
        <v>3881</v>
      </c>
      <c r="F3724" t="s">
        <v>9</v>
      </c>
    </row>
    <row r="3725" spans="1:6" x14ac:dyDescent="0.25">
      <c r="A3725" t="str">
        <f>"22736891"</f>
        <v>22736891</v>
      </c>
      <c r="B3725" t="s">
        <v>3913</v>
      </c>
      <c r="C3725" t="s">
        <v>7</v>
      </c>
      <c r="D3725" t="str">
        <f t="shared" si="112"/>
        <v>556891</v>
      </c>
      <c r="E3725" t="s">
        <v>3881</v>
      </c>
      <c r="F3725" t="s">
        <v>11</v>
      </c>
    </row>
    <row r="3726" spans="1:6" x14ac:dyDescent="0.25">
      <c r="A3726" t="str">
        <f>"26577658"</f>
        <v>26577658</v>
      </c>
      <c r="B3726" t="s">
        <v>3914</v>
      </c>
      <c r="C3726" t="s">
        <v>7</v>
      </c>
      <c r="D3726" t="str">
        <f t="shared" ref="D3726:D3757" si="113">"556891"</f>
        <v>556891</v>
      </c>
      <c r="E3726" t="s">
        <v>3881</v>
      </c>
      <c r="F3726" t="s">
        <v>11</v>
      </c>
    </row>
    <row r="3727" spans="1:6" x14ac:dyDescent="0.25">
      <c r="A3727" t="str">
        <f>"06711723"</f>
        <v>06711723</v>
      </c>
      <c r="B3727" t="s">
        <v>3915</v>
      </c>
      <c r="C3727" t="s">
        <v>7</v>
      </c>
      <c r="D3727" t="str">
        <f t="shared" si="113"/>
        <v>556891</v>
      </c>
      <c r="E3727" t="s">
        <v>3881</v>
      </c>
      <c r="F3727" t="s">
        <v>11</v>
      </c>
    </row>
    <row r="3728" spans="1:6" x14ac:dyDescent="0.25">
      <c r="A3728" t="str">
        <f>"01420283"</f>
        <v>01420283</v>
      </c>
      <c r="B3728" t="s">
        <v>3916</v>
      </c>
      <c r="C3728" t="s">
        <v>7</v>
      </c>
      <c r="D3728" t="str">
        <f t="shared" si="113"/>
        <v>556891</v>
      </c>
      <c r="E3728" t="s">
        <v>3881</v>
      </c>
      <c r="F3728" t="s">
        <v>11</v>
      </c>
    </row>
    <row r="3729" spans="1:6" x14ac:dyDescent="0.25">
      <c r="A3729" t="str">
        <f>"46749951"</f>
        <v>46749951</v>
      </c>
      <c r="B3729" t="s">
        <v>3917</v>
      </c>
      <c r="C3729" t="s">
        <v>7</v>
      </c>
      <c r="D3729" t="str">
        <f t="shared" si="113"/>
        <v>556891</v>
      </c>
      <c r="E3729" t="s">
        <v>3881</v>
      </c>
      <c r="F3729" t="s">
        <v>9</v>
      </c>
    </row>
    <row r="3730" spans="1:6" x14ac:dyDescent="0.25">
      <c r="A3730" t="str">
        <f>"63778033"</f>
        <v>63778033</v>
      </c>
      <c r="B3730" t="s">
        <v>3918</v>
      </c>
      <c r="C3730" t="s">
        <v>7</v>
      </c>
      <c r="D3730" t="str">
        <f t="shared" si="113"/>
        <v>556891</v>
      </c>
      <c r="E3730" t="s">
        <v>3881</v>
      </c>
      <c r="F3730" t="s">
        <v>35</v>
      </c>
    </row>
    <row r="3731" spans="1:6" x14ac:dyDescent="0.25">
      <c r="A3731" t="str">
        <f>"02500116"</f>
        <v>02500116</v>
      </c>
      <c r="B3731" t="s">
        <v>3919</v>
      </c>
      <c r="C3731" t="s">
        <v>7</v>
      </c>
      <c r="D3731" t="str">
        <f t="shared" si="113"/>
        <v>556891</v>
      </c>
      <c r="E3731" t="s">
        <v>3881</v>
      </c>
      <c r="F3731" t="s">
        <v>11</v>
      </c>
    </row>
    <row r="3732" spans="1:6" x14ac:dyDescent="0.25">
      <c r="A3732" t="str">
        <f>"68983913"</f>
        <v>68983913</v>
      </c>
      <c r="B3732" t="s">
        <v>3920</v>
      </c>
      <c r="C3732" t="s">
        <v>7</v>
      </c>
      <c r="D3732" t="str">
        <f t="shared" si="113"/>
        <v>556891</v>
      </c>
      <c r="E3732" t="s">
        <v>3881</v>
      </c>
      <c r="F3732" t="s">
        <v>65</v>
      </c>
    </row>
    <row r="3733" spans="1:6" x14ac:dyDescent="0.25">
      <c r="A3733" t="str">
        <f>"22767185"</f>
        <v>22767185</v>
      </c>
      <c r="B3733" t="s">
        <v>3921</v>
      </c>
      <c r="C3733" t="s">
        <v>15</v>
      </c>
      <c r="D3733" t="str">
        <f t="shared" si="113"/>
        <v>556891</v>
      </c>
      <c r="E3733" t="s">
        <v>3881</v>
      </c>
      <c r="F3733" t="s">
        <v>11</v>
      </c>
    </row>
    <row r="3734" spans="1:6" x14ac:dyDescent="0.25">
      <c r="A3734" t="str">
        <f>"22844872"</f>
        <v>22844872</v>
      </c>
      <c r="B3734" t="s">
        <v>3922</v>
      </c>
      <c r="C3734" t="s">
        <v>7</v>
      </c>
      <c r="D3734" t="str">
        <f t="shared" si="113"/>
        <v>556891</v>
      </c>
      <c r="E3734" t="s">
        <v>3881</v>
      </c>
      <c r="F3734" t="s">
        <v>62</v>
      </c>
    </row>
    <row r="3735" spans="1:6" x14ac:dyDescent="0.25">
      <c r="A3735" t="str">
        <f>"22899812"</f>
        <v>22899812</v>
      </c>
      <c r="B3735" t="s">
        <v>3923</v>
      </c>
      <c r="C3735" t="s">
        <v>15</v>
      </c>
      <c r="D3735" t="str">
        <f t="shared" si="113"/>
        <v>556891</v>
      </c>
      <c r="E3735" t="s">
        <v>3881</v>
      </c>
      <c r="F3735" t="s">
        <v>29</v>
      </c>
    </row>
    <row r="3736" spans="1:6" x14ac:dyDescent="0.25">
      <c r="A3736" t="str">
        <f>"26611520"</f>
        <v>26611520</v>
      </c>
      <c r="B3736" t="s">
        <v>3924</v>
      </c>
      <c r="C3736" t="s">
        <v>7</v>
      </c>
      <c r="D3736" t="str">
        <f t="shared" si="113"/>
        <v>556891</v>
      </c>
      <c r="E3736" t="s">
        <v>3881</v>
      </c>
      <c r="F3736" t="s">
        <v>38</v>
      </c>
    </row>
    <row r="3737" spans="1:6" x14ac:dyDescent="0.25">
      <c r="A3737" t="str">
        <f>"22887601"</f>
        <v>22887601</v>
      </c>
      <c r="B3737" t="s">
        <v>3925</v>
      </c>
      <c r="C3737" t="s">
        <v>7</v>
      </c>
      <c r="D3737" t="str">
        <f t="shared" si="113"/>
        <v>556891</v>
      </c>
      <c r="E3737" t="s">
        <v>3881</v>
      </c>
      <c r="F3737" t="s">
        <v>137</v>
      </c>
    </row>
    <row r="3738" spans="1:6" x14ac:dyDescent="0.25">
      <c r="A3738" t="str">
        <f>"17708982"</f>
        <v>17708982</v>
      </c>
      <c r="B3738" t="s">
        <v>3926</v>
      </c>
      <c r="C3738" t="s">
        <v>7</v>
      </c>
      <c r="D3738" t="str">
        <f t="shared" si="113"/>
        <v>556891</v>
      </c>
      <c r="E3738" t="s">
        <v>3881</v>
      </c>
      <c r="F3738" t="s">
        <v>11</v>
      </c>
    </row>
    <row r="3739" spans="1:6" x14ac:dyDescent="0.25">
      <c r="A3739" t="str">
        <f>"01816659"</f>
        <v>01816659</v>
      </c>
      <c r="B3739" t="s">
        <v>3927</v>
      </c>
      <c r="C3739" t="s">
        <v>7</v>
      </c>
      <c r="D3739" t="str">
        <f t="shared" si="113"/>
        <v>556891</v>
      </c>
      <c r="E3739" t="s">
        <v>3881</v>
      </c>
      <c r="F3739" t="s">
        <v>38</v>
      </c>
    </row>
    <row r="3740" spans="1:6" x14ac:dyDescent="0.25">
      <c r="A3740" t="str">
        <f>"26611201"</f>
        <v>26611201</v>
      </c>
      <c r="B3740" t="s">
        <v>3928</v>
      </c>
      <c r="C3740" t="s">
        <v>7</v>
      </c>
      <c r="D3740" t="str">
        <f t="shared" si="113"/>
        <v>556891</v>
      </c>
      <c r="E3740" t="s">
        <v>3881</v>
      </c>
      <c r="F3740" t="s">
        <v>38</v>
      </c>
    </row>
    <row r="3741" spans="1:6" x14ac:dyDescent="0.25">
      <c r="A3741" t="str">
        <f>"09836578"</f>
        <v>09836578</v>
      </c>
      <c r="B3741" t="s">
        <v>3929</v>
      </c>
      <c r="C3741" t="s">
        <v>7</v>
      </c>
      <c r="D3741" t="str">
        <f t="shared" si="113"/>
        <v>556891</v>
      </c>
      <c r="E3741" t="s">
        <v>3881</v>
      </c>
      <c r="F3741" t="s">
        <v>13</v>
      </c>
    </row>
    <row r="3742" spans="1:6" x14ac:dyDescent="0.25">
      <c r="A3742" t="str">
        <f>"08262578"</f>
        <v>08262578</v>
      </c>
      <c r="B3742" t="s">
        <v>3930</v>
      </c>
      <c r="C3742" t="s">
        <v>124</v>
      </c>
      <c r="D3742" t="str">
        <f t="shared" si="113"/>
        <v>556891</v>
      </c>
      <c r="E3742" t="s">
        <v>3881</v>
      </c>
      <c r="F3742" t="s">
        <v>11</v>
      </c>
    </row>
    <row r="3743" spans="1:6" x14ac:dyDescent="0.25">
      <c r="A3743" t="str">
        <f>"22742875"</f>
        <v>22742875</v>
      </c>
      <c r="B3743" t="s">
        <v>3931</v>
      </c>
      <c r="C3743" t="s">
        <v>7</v>
      </c>
      <c r="D3743" t="str">
        <f t="shared" si="113"/>
        <v>556891</v>
      </c>
      <c r="E3743" t="s">
        <v>3881</v>
      </c>
      <c r="F3743" t="s">
        <v>137</v>
      </c>
    </row>
    <row r="3744" spans="1:6" x14ac:dyDescent="0.25">
      <c r="A3744" t="str">
        <f>"01205145"</f>
        <v>01205145</v>
      </c>
      <c r="B3744" t="s">
        <v>3932</v>
      </c>
      <c r="C3744" t="s">
        <v>7</v>
      </c>
      <c r="D3744" t="str">
        <f t="shared" si="113"/>
        <v>556891</v>
      </c>
      <c r="E3744" t="s">
        <v>3881</v>
      </c>
      <c r="F3744" t="s">
        <v>11</v>
      </c>
    </row>
    <row r="3745" spans="1:6" x14ac:dyDescent="0.25">
      <c r="A3745" t="str">
        <f>"26553970"</f>
        <v>26553970</v>
      </c>
      <c r="B3745" t="s">
        <v>3933</v>
      </c>
      <c r="C3745" t="s">
        <v>7</v>
      </c>
      <c r="D3745" t="str">
        <f t="shared" si="113"/>
        <v>556891</v>
      </c>
      <c r="E3745" t="s">
        <v>3881</v>
      </c>
      <c r="F3745" t="s">
        <v>18</v>
      </c>
    </row>
    <row r="3746" spans="1:6" x14ac:dyDescent="0.25">
      <c r="A3746" t="str">
        <f>"27056988"</f>
        <v>27056988</v>
      </c>
      <c r="B3746" t="s">
        <v>3934</v>
      </c>
      <c r="C3746" t="s">
        <v>7</v>
      </c>
      <c r="D3746" t="str">
        <f t="shared" si="113"/>
        <v>556891</v>
      </c>
      <c r="E3746" t="s">
        <v>3881</v>
      </c>
      <c r="F3746" t="s">
        <v>9</v>
      </c>
    </row>
    <row r="3747" spans="1:6" x14ac:dyDescent="0.25">
      <c r="A3747" t="str">
        <f>"22738886"</f>
        <v>22738886</v>
      </c>
      <c r="B3747" t="s">
        <v>3935</v>
      </c>
      <c r="C3747" t="s">
        <v>7</v>
      </c>
      <c r="D3747" t="str">
        <f t="shared" si="113"/>
        <v>556891</v>
      </c>
      <c r="E3747" t="s">
        <v>3881</v>
      </c>
      <c r="F3747" t="s">
        <v>11</v>
      </c>
    </row>
    <row r="3748" spans="1:6" x14ac:dyDescent="0.25">
      <c r="A3748" t="str">
        <f>"22687581"</f>
        <v>22687581</v>
      </c>
      <c r="B3748" t="s">
        <v>3936</v>
      </c>
      <c r="C3748" t="s">
        <v>7</v>
      </c>
      <c r="D3748" t="str">
        <f t="shared" si="113"/>
        <v>556891</v>
      </c>
      <c r="E3748" t="s">
        <v>3881</v>
      </c>
      <c r="F3748" t="s">
        <v>621</v>
      </c>
    </row>
    <row r="3749" spans="1:6" x14ac:dyDescent="0.25">
      <c r="A3749" t="str">
        <f>"22892141"</f>
        <v>22892141</v>
      </c>
      <c r="B3749" t="s">
        <v>3937</v>
      </c>
      <c r="C3749" t="s">
        <v>7</v>
      </c>
      <c r="D3749" t="str">
        <f t="shared" si="113"/>
        <v>556891</v>
      </c>
      <c r="E3749" t="s">
        <v>3881</v>
      </c>
      <c r="F3749" t="s">
        <v>11</v>
      </c>
    </row>
    <row r="3750" spans="1:6" x14ac:dyDescent="0.25">
      <c r="A3750" t="str">
        <f>"22841687"</f>
        <v>22841687</v>
      </c>
      <c r="B3750" t="s">
        <v>3938</v>
      </c>
      <c r="C3750" t="s">
        <v>7</v>
      </c>
      <c r="D3750" t="str">
        <f t="shared" si="113"/>
        <v>556891</v>
      </c>
      <c r="E3750" t="s">
        <v>3881</v>
      </c>
      <c r="F3750" t="s">
        <v>62</v>
      </c>
    </row>
    <row r="3751" spans="1:6" x14ac:dyDescent="0.25">
      <c r="A3751" t="str">
        <f>"73632058"</f>
        <v>73632058</v>
      </c>
      <c r="B3751" t="s">
        <v>3939</v>
      </c>
      <c r="C3751" t="s">
        <v>43</v>
      </c>
      <c r="D3751" t="str">
        <f t="shared" si="113"/>
        <v>556891</v>
      </c>
      <c r="E3751" t="s">
        <v>3881</v>
      </c>
      <c r="F3751" t="s">
        <v>44</v>
      </c>
    </row>
    <row r="3752" spans="1:6" x14ac:dyDescent="0.25">
      <c r="A3752" t="str">
        <f>"09933077"</f>
        <v>09933077</v>
      </c>
      <c r="B3752" t="s">
        <v>3940</v>
      </c>
      <c r="C3752" t="s">
        <v>7</v>
      </c>
      <c r="D3752" t="str">
        <f t="shared" si="113"/>
        <v>556891</v>
      </c>
      <c r="E3752" t="s">
        <v>3881</v>
      </c>
      <c r="F3752" t="s">
        <v>35</v>
      </c>
    </row>
    <row r="3753" spans="1:6" x14ac:dyDescent="0.25">
      <c r="A3753" t="str">
        <f>"26667631"</f>
        <v>26667631</v>
      </c>
      <c r="B3753" t="s">
        <v>3941</v>
      </c>
      <c r="C3753" t="s">
        <v>7</v>
      </c>
      <c r="D3753" t="str">
        <f t="shared" si="113"/>
        <v>556891</v>
      </c>
      <c r="E3753" t="s">
        <v>3881</v>
      </c>
      <c r="F3753" t="s">
        <v>11</v>
      </c>
    </row>
    <row r="3754" spans="1:6" x14ac:dyDescent="0.25">
      <c r="A3754" t="str">
        <f>"71223509"</f>
        <v>71223509</v>
      </c>
      <c r="B3754" t="s">
        <v>3942</v>
      </c>
      <c r="C3754" t="s">
        <v>15</v>
      </c>
      <c r="D3754" t="str">
        <f t="shared" si="113"/>
        <v>556891</v>
      </c>
      <c r="E3754" t="s">
        <v>3881</v>
      </c>
      <c r="F3754" t="s">
        <v>11</v>
      </c>
    </row>
    <row r="3755" spans="1:6" x14ac:dyDescent="0.25">
      <c r="A3755" t="str">
        <f>"71223479"</f>
        <v>71223479</v>
      </c>
      <c r="B3755" t="s">
        <v>3943</v>
      </c>
      <c r="C3755" t="s">
        <v>15</v>
      </c>
      <c r="D3755" t="str">
        <f t="shared" si="113"/>
        <v>556891</v>
      </c>
      <c r="E3755" t="s">
        <v>3881</v>
      </c>
      <c r="F3755" t="s">
        <v>11</v>
      </c>
    </row>
    <row r="3756" spans="1:6" x14ac:dyDescent="0.25">
      <c r="A3756" t="str">
        <f>"71223487"</f>
        <v>71223487</v>
      </c>
      <c r="B3756" t="s">
        <v>3944</v>
      </c>
      <c r="C3756" t="s">
        <v>15</v>
      </c>
      <c r="D3756" t="str">
        <f t="shared" si="113"/>
        <v>556891</v>
      </c>
      <c r="E3756" t="s">
        <v>3881</v>
      </c>
      <c r="F3756" t="s">
        <v>11</v>
      </c>
    </row>
    <row r="3757" spans="1:6" x14ac:dyDescent="0.25">
      <c r="A3757" t="str">
        <f>"71223517"</f>
        <v>71223517</v>
      </c>
      <c r="B3757" t="s">
        <v>3945</v>
      </c>
      <c r="C3757" t="s">
        <v>15</v>
      </c>
      <c r="D3757" t="str">
        <f t="shared" si="113"/>
        <v>556891</v>
      </c>
      <c r="E3757" t="s">
        <v>3881</v>
      </c>
      <c r="F3757" t="s">
        <v>11</v>
      </c>
    </row>
    <row r="3758" spans="1:6" x14ac:dyDescent="0.25">
      <c r="A3758" t="str">
        <f>"22765654"</f>
        <v>22765654</v>
      </c>
      <c r="B3758" t="s">
        <v>3946</v>
      </c>
      <c r="C3758" t="s">
        <v>7</v>
      </c>
      <c r="D3758" t="str">
        <f t="shared" ref="D3758:D3789" si="114">"556891"</f>
        <v>556891</v>
      </c>
      <c r="E3758" t="s">
        <v>3881</v>
      </c>
      <c r="F3758" t="s">
        <v>62</v>
      </c>
    </row>
    <row r="3759" spans="1:6" x14ac:dyDescent="0.25">
      <c r="A3759" t="str">
        <f>"46746251"</f>
        <v>46746251</v>
      </c>
      <c r="B3759" t="s">
        <v>3947</v>
      </c>
      <c r="C3759" t="s">
        <v>43</v>
      </c>
      <c r="D3759" t="str">
        <f t="shared" si="114"/>
        <v>556891</v>
      </c>
      <c r="E3759" t="s">
        <v>3881</v>
      </c>
      <c r="F3759" t="s">
        <v>44</v>
      </c>
    </row>
    <row r="3760" spans="1:6" x14ac:dyDescent="0.25">
      <c r="A3760" t="str">
        <f>"22766588"</f>
        <v>22766588</v>
      </c>
      <c r="B3760" t="s">
        <v>3948</v>
      </c>
      <c r="C3760" t="s">
        <v>7</v>
      </c>
      <c r="D3760" t="str">
        <f t="shared" si="114"/>
        <v>556891</v>
      </c>
      <c r="E3760" t="s">
        <v>3881</v>
      </c>
      <c r="F3760" t="s">
        <v>35</v>
      </c>
    </row>
    <row r="3761" spans="1:6" x14ac:dyDescent="0.25">
      <c r="A3761" t="str">
        <f>"46749314"</f>
        <v>46749314</v>
      </c>
      <c r="B3761" t="s">
        <v>3949</v>
      </c>
      <c r="C3761" t="s">
        <v>7</v>
      </c>
      <c r="D3761" t="str">
        <f t="shared" si="114"/>
        <v>556891</v>
      </c>
      <c r="E3761" t="s">
        <v>3881</v>
      </c>
      <c r="F3761" t="s">
        <v>11</v>
      </c>
    </row>
    <row r="3762" spans="1:6" x14ac:dyDescent="0.25">
      <c r="A3762" t="str">
        <f>"02281210"</f>
        <v>02281210</v>
      </c>
      <c r="B3762" t="s">
        <v>3950</v>
      </c>
      <c r="C3762" t="s">
        <v>7</v>
      </c>
      <c r="D3762" t="str">
        <f t="shared" si="114"/>
        <v>556891</v>
      </c>
      <c r="E3762" t="s">
        <v>3881</v>
      </c>
      <c r="F3762" t="s">
        <v>11</v>
      </c>
    </row>
    <row r="3763" spans="1:6" x14ac:dyDescent="0.25">
      <c r="A3763" t="str">
        <f>"22671447"</f>
        <v>22671447</v>
      </c>
      <c r="B3763" t="s">
        <v>3951</v>
      </c>
      <c r="C3763" t="s">
        <v>7</v>
      </c>
      <c r="D3763" t="str">
        <f t="shared" si="114"/>
        <v>556891</v>
      </c>
      <c r="E3763" t="s">
        <v>3881</v>
      </c>
      <c r="F3763" t="s">
        <v>9</v>
      </c>
    </row>
    <row r="3764" spans="1:6" x14ac:dyDescent="0.25">
      <c r="A3764" t="str">
        <f>"04432126"</f>
        <v>04432126</v>
      </c>
      <c r="B3764" t="s">
        <v>3952</v>
      </c>
      <c r="C3764" t="s">
        <v>7</v>
      </c>
      <c r="D3764" t="str">
        <f t="shared" si="114"/>
        <v>556891</v>
      </c>
      <c r="E3764" t="s">
        <v>3881</v>
      </c>
      <c r="F3764" t="s">
        <v>62</v>
      </c>
    </row>
    <row r="3765" spans="1:6" x14ac:dyDescent="0.25">
      <c r="A3765" t="str">
        <f>"75119803"</f>
        <v>75119803</v>
      </c>
      <c r="B3765" t="s">
        <v>3953</v>
      </c>
      <c r="C3765" t="s">
        <v>15</v>
      </c>
      <c r="D3765" t="str">
        <f t="shared" si="114"/>
        <v>556891</v>
      </c>
      <c r="E3765" t="s">
        <v>3881</v>
      </c>
      <c r="F3765" t="s">
        <v>11</v>
      </c>
    </row>
    <row r="3766" spans="1:6" x14ac:dyDescent="0.25">
      <c r="A3766" t="str">
        <f>"64039242"</f>
        <v>64039242</v>
      </c>
      <c r="B3766" t="s">
        <v>3954</v>
      </c>
      <c r="C3766" t="s">
        <v>15</v>
      </c>
      <c r="D3766" t="str">
        <f t="shared" si="114"/>
        <v>556891</v>
      </c>
      <c r="E3766" t="s">
        <v>3881</v>
      </c>
      <c r="F3766" t="s">
        <v>16</v>
      </c>
    </row>
    <row r="3767" spans="1:6" x14ac:dyDescent="0.25">
      <c r="A3767" t="str">
        <f>"28560221"</f>
        <v>28560221</v>
      </c>
      <c r="B3767" t="s">
        <v>3955</v>
      </c>
      <c r="C3767" t="s">
        <v>7</v>
      </c>
      <c r="D3767" t="str">
        <f t="shared" si="114"/>
        <v>556891</v>
      </c>
      <c r="E3767" t="s">
        <v>3881</v>
      </c>
      <c r="F3767" t="s">
        <v>35</v>
      </c>
    </row>
    <row r="3768" spans="1:6" x14ac:dyDescent="0.25">
      <c r="A3768" t="str">
        <f>"46749802"</f>
        <v>46749802</v>
      </c>
      <c r="B3768" t="s">
        <v>3956</v>
      </c>
      <c r="C3768" t="s">
        <v>7</v>
      </c>
      <c r="D3768" t="str">
        <f t="shared" si="114"/>
        <v>556891</v>
      </c>
      <c r="E3768" t="s">
        <v>3881</v>
      </c>
      <c r="F3768" t="s">
        <v>9</v>
      </c>
    </row>
    <row r="3769" spans="1:6" x14ac:dyDescent="0.25">
      <c r="A3769" t="str">
        <f>"68954735"</f>
        <v>68954735</v>
      </c>
      <c r="B3769" t="s">
        <v>3957</v>
      </c>
      <c r="C3769" t="s">
        <v>7</v>
      </c>
      <c r="D3769" t="str">
        <f t="shared" si="114"/>
        <v>556891</v>
      </c>
      <c r="E3769" t="s">
        <v>3881</v>
      </c>
      <c r="F3769" t="s">
        <v>11</v>
      </c>
    </row>
    <row r="3770" spans="1:6" x14ac:dyDescent="0.25">
      <c r="A3770" t="str">
        <f>"46745831"</f>
        <v>46745831</v>
      </c>
      <c r="B3770" t="s">
        <v>3958</v>
      </c>
      <c r="C3770" t="s">
        <v>7</v>
      </c>
      <c r="D3770" t="str">
        <f t="shared" si="114"/>
        <v>556891</v>
      </c>
      <c r="E3770" t="s">
        <v>3881</v>
      </c>
      <c r="F3770" t="s">
        <v>9</v>
      </c>
    </row>
    <row r="3771" spans="1:6" x14ac:dyDescent="0.25">
      <c r="A3771" t="str">
        <f>"06445420"</f>
        <v>06445420</v>
      </c>
      <c r="B3771" t="s">
        <v>3959</v>
      </c>
      <c r="C3771" t="s">
        <v>7</v>
      </c>
      <c r="D3771" t="str">
        <f t="shared" si="114"/>
        <v>556891</v>
      </c>
      <c r="E3771" t="s">
        <v>3881</v>
      </c>
      <c r="F3771" t="s">
        <v>11</v>
      </c>
    </row>
    <row r="3772" spans="1:6" x14ac:dyDescent="0.25">
      <c r="A3772" t="str">
        <f>"04212321"</f>
        <v>04212321</v>
      </c>
      <c r="B3772" t="s">
        <v>3960</v>
      </c>
      <c r="C3772" t="s">
        <v>7</v>
      </c>
      <c r="D3772" t="str">
        <f t="shared" si="114"/>
        <v>556891</v>
      </c>
      <c r="E3772" t="s">
        <v>3881</v>
      </c>
      <c r="F3772" t="s">
        <v>13</v>
      </c>
    </row>
    <row r="3773" spans="1:6" x14ac:dyDescent="0.25">
      <c r="A3773" t="str">
        <f>"19768427"</f>
        <v>19768427</v>
      </c>
      <c r="B3773" t="s">
        <v>3961</v>
      </c>
      <c r="C3773" t="s">
        <v>7</v>
      </c>
      <c r="D3773" t="str">
        <f t="shared" si="114"/>
        <v>556891</v>
      </c>
      <c r="E3773" t="s">
        <v>3881</v>
      </c>
      <c r="F3773" t="s">
        <v>11</v>
      </c>
    </row>
    <row r="3774" spans="1:6" x14ac:dyDescent="0.25">
      <c r="A3774" t="str">
        <f>"27030954"</f>
        <v>27030954</v>
      </c>
      <c r="B3774" t="s">
        <v>3962</v>
      </c>
      <c r="C3774" t="s">
        <v>7</v>
      </c>
      <c r="D3774" t="str">
        <f t="shared" si="114"/>
        <v>556891</v>
      </c>
      <c r="E3774" t="s">
        <v>3881</v>
      </c>
      <c r="F3774" t="s">
        <v>13</v>
      </c>
    </row>
    <row r="3775" spans="1:6" x14ac:dyDescent="0.25">
      <c r="A3775" t="str">
        <f>"41329082"</f>
        <v>41329082</v>
      </c>
      <c r="B3775" t="s">
        <v>3963</v>
      </c>
      <c r="C3775" t="s">
        <v>7</v>
      </c>
      <c r="D3775" t="str">
        <f t="shared" si="114"/>
        <v>556891</v>
      </c>
      <c r="E3775" t="s">
        <v>3881</v>
      </c>
      <c r="F3775" t="s">
        <v>13</v>
      </c>
    </row>
    <row r="3776" spans="1:6" x14ac:dyDescent="0.25">
      <c r="A3776" t="str">
        <f>"22722955"</f>
        <v>22722955</v>
      </c>
      <c r="B3776" t="s">
        <v>3964</v>
      </c>
      <c r="C3776" t="s">
        <v>7</v>
      </c>
      <c r="D3776" t="str">
        <f t="shared" si="114"/>
        <v>556891</v>
      </c>
      <c r="E3776" t="s">
        <v>3881</v>
      </c>
      <c r="F3776" t="s">
        <v>11</v>
      </c>
    </row>
    <row r="3777" spans="1:6" x14ac:dyDescent="0.25">
      <c r="A3777" t="str">
        <f>"01758632"</f>
        <v>01758632</v>
      </c>
      <c r="B3777" t="s">
        <v>3965</v>
      </c>
      <c r="C3777" t="s">
        <v>7</v>
      </c>
      <c r="D3777" t="str">
        <f t="shared" si="114"/>
        <v>556891</v>
      </c>
      <c r="E3777" t="s">
        <v>3881</v>
      </c>
      <c r="F3777" t="s">
        <v>35</v>
      </c>
    </row>
    <row r="3778" spans="1:6" x14ac:dyDescent="0.25">
      <c r="A3778" t="str">
        <f>"21208263"</f>
        <v>21208263</v>
      </c>
      <c r="B3778" t="s">
        <v>3966</v>
      </c>
      <c r="C3778" t="s">
        <v>7</v>
      </c>
      <c r="D3778" t="str">
        <f t="shared" si="114"/>
        <v>556891</v>
      </c>
      <c r="E3778" t="s">
        <v>3881</v>
      </c>
      <c r="F3778" t="s">
        <v>62</v>
      </c>
    </row>
    <row r="3779" spans="1:6" x14ac:dyDescent="0.25">
      <c r="A3779" t="str">
        <f>"05855489"</f>
        <v>05855489</v>
      </c>
      <c r="B3779" t="s">
        <v>3967</v>
      </c>
      <c r="C3779" t="s">
        <v>7</v>
      </c>
      <c r="D3779" t="str">
        <f t="shared" si="114"/>
        <v>556891</v>
      </c>
      <c r="E3779" t="s">
        <v>3881</v>
      </c>
      <c r="F3779" t="s">
        <v>62</v>
      </c>
    </row>
    <row r="3780" spans="1:6" x14ac:dyDescent="0.25">
      <c r="A3780" t="str">
        <f>"46746315"</f>
        <v>46746315</v>
      </c>
      <c r="B3780" t="s">
        <v>3968</v>
      </c>
      <c r="C3780" t="s">
        <v>7</v>
      </c>
      <c r="D3780" t="str">
        <f t="shared" si="114"/>
        <v>556891</v>
      </c>
      <c r="E3780" t="s">
        <v>3881</v>
      </c>
      <c r="F3780" t="s">
        <v>9</v>
      </c>
    </row>
    <row r="3781" spans="1:6" x14ac:dyDescent="0.25">
      <c r="A3781" t="str">
        <f>"21332037"</f>
        <v>21332037</v>
      </c>
      <c r="B3781" t="s">
        <v>3969</v>
      </c>
      <c r="C3781" t="s">
        <v>7</v>
      </c>
      <c r="D3781" t="str">
        <f t="shared" si="114"/>
        <v>556891</v>
      </c>
      <c r="E3781" t="s">
        <v>3881</v>
      </c>
      <c r="F3781" t="s">
        <v>11</v>
      </c>
    </row>
    <row r="3782" spans="1:6" x14ac:dyDescent="0.25">
      <c r="A3782" t="str">
        <f>"07646399"</f>
        <v>07646399</v>
      </c>
      <c r="B3782" t="s">
        <v>3970</v>
      </c>
      <c r="C3782" t="s">
        <v>7</v>
      </c>
      <c r="D3782" t="str">
        <f t="shared" si="114"/>
        <v>556891</v>
      </c>
      <c r="E3782" t="s">
        <v>3881</v>
      </c>
      <c r="F3782" t="s">
        <v>29</v>
      </c>
    </row>
    <row r="3783" spans="1:6" x14ac:dyDescent="0.25">
      <c r="A3783" t="str">
        <f>"22829415"</f>
        <v>22829415</v>
      </c>
      <c r="B3783" t="s">
        <v>3971</v>
      </c>
      <c r="C3783" t="s">
        <v>7</v>
      </c>
      <c r="D3783" t="str">
        <f t="shared" si="114"/>
        <v>556891</v>
      </c>
      <c r="E3783" t="s">
        <v>3881</v>
      </c>
      <c r="F3783" t="s">
        <v>11</v>
      </c>
    </row>
    <row r="3784" spans="1:6" x14ac:dyDescent="0.25">
      <c r="A3784" t="str">
        <f>"22891919"</f>
        <v>22891919</v>
      </c>
      <c r="B3784" t="s">
        <v>3972</v>
      </c>
      <c r="C3784" t="s">
        <v>7</v>
      </c>
      <c r="D3784" t="str">
        <f t="shared" si="114"/>
        <v>556891</v>
      </c>
      <c r="E3784" t="s">
        <v>3881</v>
      </c>
      <c r="F3784" t="s">
        <v>18</v>
      </c>
    </row>
    <row r="3785" spans="1:6" x14ac:dyDescent="0.25">
      <c r="A3785" t="str">
        <f>"01220462"</f>
        <v>01220462</v>
      </c>
      <c r="B3785" t="s">
        <v>3973</v>
      </c>
      <c r="C3785" t="s">
        <v>7</v>
      </c>
      <c r="D3785" t="str">
        <f t="shared" si="114"/>
        <v>556891</v>
      </c>
      <c r="E3785" t="s">
        <v>3881</v>
      </c>
      <c r="F3785" t="s">
        <v>29</v>
      </c>
    </row>
    <row r="3786" spans="1:6" x14ac:dyDescent="0.25">
      <c r="A3786" t="str">
        <f>"26667240"</f>
        <v>26667240</v>
      </c>
      <c r="B3786" t="s">
        <v>3974</v>
      </c>
      <c r="C3786" t="s">
        <v>7</v>
      </c>
      <c r="D3786" t="str">
        <f t="shared" si="114"/>
        <v>556891</v>
      </c>
      <c r="E3786" t="s">
        <v>3881</v>
      </c>
      <c r="F3786" t="s">
        <v>11</v>
      </c>
    </row>
    <row r="3787" spans="1:6" x14ac:dyDescent="0.25">
      <c r="A3787" t="str">
        <f>"68455780"</f>
        <v>68455780</v>
      </c>
      <c r="B3787" t="s">
        <v>3975</v>
      </c>
      <c r="C3787" t="s">
        <v>15</v>
      </c>
      <c r="D3787" t="str">
        <f t="shared" si="114"/>
        <v>556891</v>
      </c>
      <c r="E3787" t="s">
        <v>3881</v>
      </c>
      <c r="F3787" t="s">
        <v>29</v>
      </c>
    </row>
    <row r="3788" spans="1:6" x14ac:dyDescent="0.25">
      <c r="A3788" t="str">
        <f>"72055464"</f>
        <v>72055464</v>
      </c>
      <c r="B3788" t="s">
        <v>3976</v>
      </c>
      <c r="C3788" t="s">
        <v>20</v>
      </c>
      <c r="D3788" t="str">
        <f t="shared" si="114"/>
        <v>556891</v>
      </c>
      <c r="E3788" t="s">
        <v>3881</v>
      </c>
      <c r="F3788" t="s">
        <v>21</v>
      </c>
    </row>
    <row r="3789" spans="1:6" x14ac:dyDescent="0.25">
      <c r="A3789" t="str">
        <f>"70935165"</f>
        <v>70935165</v>
      </c>
      <c r="B3789" t="s">
        <v>3977</v>
      </c>
      <c r="C3789" t="s">
        <v>20</v>
      </c>
      <c r="D3789" t="str">
        <f t="shared" si="114"/>
        <v>556891</v>
      </c>
      <c r="E3789" t="s">
        <v>3881</v>
      </c>
      <c r="F3789" t="s">
        <v>21</v>
      </c>
    </row>
    <row r="3790" spans="1:6" x14ac:dyDescent="0.25">
      <c r="A3790" t="str">
        <f>"70899223"</f>
        <v>70899223</v>
      </c>
      <c r="B3790" t="s">
        <v>3978</v>
      </c>
      <c r="C3790" t="s">
        <v>20</v>
      </c>
      <c r="D3790" t="str">
        <f t="shared" ref="D3790:D3795" si="115">"556891"</f>
        <v>556891</v>
      </c>
      <c r="E3790" t="s">
        <v>3881</v>
      </c>
      <c r="F3790" t="s">
        <v>21</v>
      </c>
    </row>
    <row r="3791" spans="1:6" x14ac:dyDescent="0.25">
      <c r="A3791" t="str">
        <f>"65635485"</f>
        <v>65635485</v>
      </c>
      <c r="B3791" t="s">
        <v>3979</v>
      </c>
      <c r="C3791" t="s">
        <v>15</v>
      </c>
      <c r="D3791" t="str">
        <f t="shared" si="115"/>
        <v>556891</v>
      </c>
      <c r="E3791" t="s">
        <v>3881</v>
      </c>
      <c r="F3791" t="s">
        <v>18</v>
      </c>
    </row>
    <row r="3792" spans="1:6" x14ac:dyDescent="0.25">
      <c r="A3792" t="str">
        <f>"70954437"</f>
        <v>70954437</v>
      </c>
      <c r="B3792" t="s">
        <v>3980</v>
      </c>
      <c r="C3792" t="s">
        <v>20</v>
      </c>
      <c r="D3792" t="str">
        <f t="shared" si="115"/>
        <v>556891</v>
      </c>
      <c r="E3792" t="s">
        <v>3881</v>
      </c>
      <c r="F3792" t="s">
        <v>21</v>
      </c>
    </row>
    <row r="3793" spans="1:6" x14ac:dyDescent="0.25">
      <c r="A3793" t="str">
        <f>"46747079"</f>
        <v>46747079</v>
      </c>
      <c r="B3793" t="s">
        <v>3981</v>
      </c>
      <c r="C3793" t="s">
        <v>20</v>
      </c>
      <c r="D3793" t="str">
        <f t="shared" si="115"/>
        <v>556891</v>
      </c>
      <c r="E3793" t="s">
        <v>3881</v>
      </c>
      <c r="F3793" t="s">
        <v>21</v>
      </c>
    </row>
    <row r="3794" spans="1:6" x14ac:dyDescent="0.25">
      <c r="A3794" t="str">
        <f>"08152764"</f>
        <v>08152764</v>
      </c>
      <c r="B3794" t="s">
        <v>3982</v>
      </c>
      <c r="C3794" t="s">
        <v>7</v>
      </c>
      <c r="D3794" t="str">
        <f t="shared" si="115"/>
        <v>556891</v>
      </c>
      <c r="E3794" t="s">
        <v>3881</v>
      </c>
      <c r="F3794" t="s">
        <v>11</v>
      </c>
    </row>
    <row r="3795" spans="1:6" x14ac:dyDescent="0.25">
      <c r="A3795" t="str">
        <f>"26526972"</f>
        <v>26526972</v>
      </c>
      <c r="B3795" t="s">
        <v>3983</v>
      </c>
      <c r="C3795" t="s">
        <v>7</v>
      </c>
      <c r="D3795" t="str">
        <f t="shared" si="115"/>
        <v>556891</v>
      </c>
      <c r="E3795" t="s">
        <v>3881</v>
      </c>
      <c r="F3795" t="s">
        <v>11</v>
      </c>
    </row>
    <row r="3796" spans="1:6" x14ac:dyDescent="0.25">
      <c r="A3796" t="str">
        <f>"26562324"</f>
        <v>26562324</v>
      </c>
      <c r="B3796" t="s">
        <v>3984</v>
      </c>
      <c r="C3796" t="s">
        <v>7</v>
      </c>
      <c r="D3796" t="str">
        <f t="shared" ref="D3796:D3810" si="116">"577294"</f>
        <v>577294</v>
      </c>
      <c r="E3796" t="s">
        <v>3985</v>
      </c>
      <c r="F3796" t="s">
        <v>11</v>
      </c>
    </row>
    <row r="3797" spans="1:6" x14ac:dyDescent="0.25">
      <c r="A3797" t="str">
        <f>"26677750"</f>
        <v>26677750</v>
      </c>
      <c r="B3797" t="s">
        <v>3986</v>
      </c>
      <c r="C3797" t="s">
        <v>7</v>
      </c>
      <c r="D3797" t="str">
        <f t="shared" si="116"/>
        <v>577294</v>
      </c>
      <c r="E3797" t="s">
        <v>3985</v>
      </c>
      <c r="F3797" t="s">
        <v>11</v>
      </c>
    </row>
    <row r="3798" spans="1:6" x14ac:dyDescent="0.25">
      <c r="A3798" t="str">
        <f>"69157618"</f>
        <v>69157618</v>
      </c>
      <c r="B3798" t="s">
        <v>3987</v>
      </c>
      <c r="C3798" t="s">
        <v>15</v>
      </c>
      <c r="D3798" t="str">
        <f t="shared" si="116"/>
        <v>577294</v>
      </c>
      <c r="E3798" t="s">
        <v>3985</v>
      </c>
      <c r="F3798" t="s">
        <v>29</v>
      </c>
    </row>
    <row r="3799" spans="1:6" x14ac:dyDescent="0.25">
      <c r="A3799" t="str">
        <f>"15045579"</f>
        <v>15045579</v>
      </c>
      <c r="B3799" t="s">
        <v>3988</v>
      </c>
      <c r="C3799" t="s">
        <v>43</v>
      </c>
      <c r="D3799" t="str">
        <f t="shared" si="116"/>
        <v>577294</v>
      </c>
      <c r="E3799" t="s">
        <v>3985</v>
      </c>
      <c r="F3799" t="s">
        <v>44</v>
      </c>
    </row>
    <row r="3800" spans="1:6" x14ac:dyDescent="0.25">
      <c r="A3800" t="str">
        <f>"45598631"</f>
        <v>45598631</v>
      </c>
      <c r="B3800" t="s">
        <v>3989</v>
      </c>
      <c r="C3800" t="s">
        <v>7</v>
      </c>
      <c r="D3800" t="str">
        <f t="shared" si="116"/>
        <v>577294</v>
      </c>
      <c r="E3800" t="s">
        <v>3985</v>
      </c>
      <c r="F3800" t="s">
        <v>38</v>
      </c>
    </row>
    <row r="3801" spans="1:6" x14ac:dyDescent="0.25">
      <c r="A3801" t="str">
        <f>"49295438"</f>
        <v>49295438</v>
      </c>
      <c r="B3801" t="s">
        <v>3990</v>
      </c>
      <c r="C3801" t="s">
        <v>43</v>
      </c>
      <c r="D3801" t="str">
        <f t="shared" si="116"/>
        <v>577294</v>
      </c>
      <c r="E3801" t="s">
        <v>3985</v>
      </c>
      <c r="F3801" t="s">
        <v>44</v>
      </c>
    </row>
    <row r="3802" spans="1:6" x14ac:dyDescent="0.25">
      <c r="A3802" t="str">
        <f>"62013815"</f>
        <v>62013815</v>
      </c>
      <c r="B3802" t="s">
        <v>3991</v>
      </c>
      <c r="C3802" t="s">
        <v>15</v>
      </c>
      <c r="D3802" t="str">
        <f t="shared" si="116"/>
        <v>577294</v>
      </c>
      <c r="E3802" t="s">
        <v>3985</v>
      </c>
      <c r="F3802" t="s">
        <v>16</v>
      </c>
    </row>
    <row r="3803" spans="1:6" x14ac:dyDescent="0.25">
      <c r="A3803" t="str">
        <f>"09636196"</f>
        <v>09636196</v>
      </c>
      <c r="B3803" t="s">
        <v>3992</v>
      </c>
      <c r="C3803" t="s">
        <v>7</v>
      </c>
      <c r="D3803" t="str">
        <f t="shared" si="116"/>
        <v>577294</v>
      </c>
      <c r="E3803" t="s">
        <v>3985</v>
      </c>
      <c r="F3803" t="s">
        <v>11</v>
      </c>
    </row>
    <row r="3804" spans="1:6" x14ac:dyDescent="0.25">
      <c r="A3804" t="str">
        <f>"01286234"</f>
        <v>01286234</v>
      </c>
      <c r="B3804" t="s">
        <v>3993</v>
      </c>
      <c r="C3804" t="s">
        <v>7</v>
      </c>
      <c r="D3804" t="str">
        <f t="shared" si="116"/>
        <v>577294</v>
      </c>
      <c r="E3804" t="s">
        <v>3985</v>
      </c>
      <c r="F3804" t="s">
        <v>13</v>
      </c>
    </row>
    <row r="3805" spans="1:6" x14ac:dyDescent="0.25">
      <c r="A3805" t="str">
        <f>"22821970"</f>
        <v>22821970</v>
      </c>
      <c r="B3805" t="s">
        <v>3994</v>
      </c>
      <c r="C3805" t="s">
        <v>7</v>
      </c>
      <c r="D3805" t="str">
        <f t="shared" si="116"/>
        <v>577294</v>
      </c>
      <c r="E3805" t="s">
        <v>3985</v>
      </c>
      <c r="F3805" t="s">
        <v>18</v>
      </c>
    </row>
    <row r="3806" spans="1:6" x14ac:dyDescent="0.25">
      <c r="A3806" t="str">
        <f>"62014854"</f>
        <v>62014854</v>
      </c>
      <c r="B3806" t="s">
        <v>3995</v>
      </c>
      <c r="C3806" t="s">
        <v>15</v>
      </c>
      <c r="D3806" t="str">
        <f t="shared" si="116"/>
        <v>577294</v>
      </c>
      <c r="E3806" t="s">
        <v>3985</v>
      </c>
      <c r="F3806" t="s">
        <v>137</v>
      </c>
    </row>
    <row r="3807" spans="1:6" x14ac:dyDescent="0.25">
      <c r="A3807" t="str">
        <f>"71168893"</f>
        <v>71168893</v>
      </c>
      <c r="B3807" t="s">
        <v>3996</v>
      </c>
      <c r="C3807" t="s">
        <v>15</v>
      </c>
      <c r="D3807" t="str">
        <f t="shared" si="116"/>
        <v>577294</v>
      </c>
      <c r="E3807" t="s">
        <v>3985</v>
      </c>
      <c r="F3807" t="s">
        <v>137</v>
      </c>
    </row>
    <row r="3808" spans="1:6" x14ac:dyDescent="0.25">
      <c r="A3808" t="str">
        <f>"49295144"</f>
        <v>49295144</v>
      </c>
      <c r="B3808" t="s">
        <v>3997</v>
      </c>
      <c r="C3808" t="s">
        <v>7</v>
      </c>
      <c r="D3808" t="str">
        <f t="shared" si="116"/>
        <v>577294</v>
      </c>
      <c r="E3808" t="s">
        <v>3985</v>
      </c>
      <c r="F3808" t="s">
        <v>35</v>
      </c>
    </row>
    <row r="3809" spans="1:6" x14ac:dyDescent="0.25">
      <c r="A3809" t="str">
        <f>"45598070"</f>
        <v>45598070</v>
      </c>
      <c r="B3809" t="s">
        <v>3998</v>
      </c>
      <c r="C3809" t="s">
        <v>7</v>
      </c>
      <c r="D3809" t="str">
        <f t="shared" si="116"/>
        <v>577294</v>
      </c>
      <c r="E3809" t="s">
        <v>3985</v>
      </c>
      <c r="F3809" t="s">
        <v>65</v>
      </c>
    </row>
    <row r="3810" spans="1:6" x14ac:dyDescent="0.25">
      <c r="A3810" t="str">
        <f>"45598266"</f>
        <v>45598266</v>
      </c>
      <c r="B3810" t="s">
        <v>3999</v>
      </c>
      <c r="C3810" t="s">
        <v>7</v>
      </c>
      <c r="D3810" t="str">
        <f t="shared" si="116"/>
        <v>577294</v>
      </c>
      <c r="E3810" t="s">
        <v>3985</v>
      </c>
      <c r="F3810" t="s">
        <v>65</v>
      </c>
    </row>
    <row r="3811" spans="1:6" x14ac:dyDescent="0.25">
      <c r="A3811" t="str">
        <f>"04668804"</f>
        <v>04668804</v>
      </c>
      <c r="B3811" t="s">
        <v>4000</v>
      </c>
      <c r="C3811" t="s">
        <v>7</v>
      </c>
      <c r="D3811" t="str">
        <f t="shared" ref="D3811:D3842" si="117">"577308"</f>
        <v>577308</v>
      </c>
      <c r="E3811" t="s">
        <v>4001</v>
      </c>
      <c r="F3811" t="s">
        <v>11</v>
      </c>
    </row>
    <row r="3812" spans="1:6" x14ac:dyDescent="0.25">
      <c r="A3812" t="str">
        <f>"26638924"</f>
        <v>26638924</v>
      </c>
      <c r="B3812" t="s">
        <v>4002</v>
      </c>
      <c r="C3812" t="s">
        <v>7</v>
      </c>
      <c r="D3812" t="str">
        <f t="shared" si="117"/>
        <v>577308</v>
      </c>
      <c r="E3812" t="s">
        <v>4001</v>
      </c>
      <c r="F3812" t="s">
        <v>65</v>
      </c>
    </row>
    <row r="3813" spans="1:6" x14ac:dyDescent="0.25">
      <c r="A3813" t="str">
        <f>"22197443"</f>
        <v>22197443</v>
      </c>
      <c r="B3813" t="s">
        <v>4003</v>
      </c>
      <c r="C3813" t="s">
        <v>7</v>
      </c>
      <c r="D3813" t="str">
        <f t="shared" si="117"/>
        <v>577308</v>
      </c>
      <c r="E3813" t="s">
        <v>4001</v>
      </c>
      <c r="F3813" t="s">
        <v>11</v>
      </c>
    </row>
    <row r="3814" spans="1:6" x14ac:dyDescent="0.25">
      <c r="A3814" t="str">
        <f>"15045315"</f>
        <v>15045315</v>
      </c>
      <c r="B3814" t="s">
        <v>4004</v>
      </c>
      <c r="C3814" t="s">
        <v>7</v>
      </c>
      <c r="D3814" t="str">
        <f t="shared" si="117"/>
        <v>577308</v>
      </c>
      <c r="E3814" t="s">
        <v>4001</v>
      </c>
      <c r="F3814" t="s">
        <v>65</v>
      </c>
    </row>
    <row r="3815" spans="1:6" x14ac:dyDescent="0.25">
      <c r="A3815" t="str">
        <f>"62013149"</f>
        <v>62013149</v>
      </c>
      <c r="B3815" t="s">
        <v>4005</v>
      </c>
      <c r="C3815" t="s">
        <v>15</v>
      </c>
      <c r="D3815" t="str">
        <f t="shared" si="117"/>
        <v>577308</v>
      </c>
      <c r="E3815" t="s">
        <v>4001</v>
      </c>
      <c r="F3815" t="s">
        <v>29</v>
      </c>
    </row>
    <row r="3816" spans="1:6" x14ac:dyDescent="0.25">
      <c r="A3816" t="str">
        <f>"22750827"</f>
        <v>22750827</v>
      </c>
      <c r="B3816" t="s">
        <v>4006</v>
      </c>
      <c r="C3816" t="s">
        <v>7</v>
      </c>
      <c r="D3816" t="str">
        <f t="shared" si="117"/>
        <v>577308</v>
      </c>
      <c r="E3816" t="s">
        <v>4001</v>
      </c>
      <c r="F3816" t="s">
        <v>35</v>
      </c>
    </row>
    <row r="3817" spans="1:6" x14ac:dyDescent="0.25">
      <c r="A3817" t="str">
        <f>"22898212"</f>
        <v>22898212</v>
      </c>
      <c r="B3817" t="s">
        <v>4007</v>
      </c>
      <c r="C3817" t="s">
        <v>7</v>
      </c>
      <c r="D3817" t="str">
        <f t="shared" si="117"/>
        <v>577308</v>
      </c>
      <c r="E3817" t="s">
        <v>4001</v>
      </c>
      <c r="F3817" t="s">
        <v>11</v>
      </c>
    </row>
    <row r="3818" spans="1:6" x14ac:dyDescent="0.25">
      <c r="A3818" t="str">
        <f>"26534584"</f>
        <v>26534584</v>
      </c>
      <c r="B3818" t="s">
        <v>4008</v>
      </c>
      <c r="C3818" t="s">
        <v>7</v>
      </c>
      <c r="D3818" t="str">
        <f t="shared" si="117"/>
        <v>577308</v>
      </c>
      <c r="E3818" t="s">
        <v>4001</v>
      </c>
      <c r="F3818" t="s">
        <v>9</v>
      </c>
    </row>
    <row r="3819" spans="1:6" x14ac:dyDescent="0.25">
      <c r="A3819" t="str">
        <f>"08301255"</f>
        <v>08301255</v>
      </c>
      <c r="B3819" t="s">
        <v>4009</v>
      </c>
      <c r="C3819" t="s">
        <v>7</v>
      </c>
      <c r="D3819" t="str">
        <f t="shared" si="117"/>
        <v>577308</v>
      </c>
      <c r="E3819" t="s">
        <v>4001</v>
      </c>
      <c r="F3819" t="s">
        <v>62</v>
      </c>
    </row>
    <row r="3820" spans="1:6" x14ac:dyDescent="0.25">
      <c r="A3820" t="str">
        <f>"69863211"</f>
        <v>69863211</v>
      </c>
      <c r="B3820" t="s">
        <v>4010</v>
      </c>
      <c r="C3820" t="s">
        <v>15</v>
      </c>
      <c r="D3820" t="str">
        <f t="shared" si="117"/>
        <v>577308</v>
      </c>
      <c r="E3820" t="s">
        <v>4001</v>
      </c>
      <c r="F3820" t="s">
        <v>1183</v>
      </c>
    </row>
    <row r="3821" spans="1:6" x14ac:dyDescent="0.25">
      <c r="A3821" t="str">
        <f>"01634224"</f>
        <v>01634224</v>
      </c>
      <c r="B3821" t="s">
        <v>4011</v>
      </c>
      <c r="C3821" t="s">
        <v>7</v>
      </c>
      <c r="D3821" t="str">
        <f t="shared" si="117"/>
        <v>577308</v>
      </c>
      <c r="E3821" t="s">
        <v>4001</v>
      </c>
      <c r="F3821" t="s">
        <v>11</v>
      </c>
    </row>
    <row r="3822" spans="1:6" x14ac:dyDescent="0.25">
      <c r="A3822" t="str">
        <f>"62012690"</f>
        <v>62012690</v>
      </c>
      <c r="B3822" t="s">
        <v>4012</v>
      </c>
      <c r="C3822" t="s">
        <v>7</v>
      </c>
      <c r="D3822" t="str">
        <f t="shared" si="117"/>
        <v>577308</v>
      </c>
      <c r="E3822" t="s">
        <v>4001</v>
      </c>
      <c r="F3822" t="s">
        <v>11</v>
      </c>
    </row>
    <row r="3823" spans="1:6" x14ac:dyDescent="0.25">
      <c r="A3823" t="str">
        <f>"62014323"</f>
        <v>62014323</v>
      </c>
      <c r="B3823" t="s">
        <v>4013</v>
      </c>
      <c r="C3823" t="s">
        <v>15</v>
      </c>
      <c r="D3823" t="str">
        <f t="shared" si="117"/>
        <v>577308</v>
      </c>
      <c r="E3823" t="s">
        <v>4001</v>
      </c>
      <c r="F3823" t="s">
        <v>29</v>
      </c>
    </row>
    <row r="3824" spans="1:6" x14ac:dyDescent="0.25">
      <c r="A3824" t="str">
        <f>"71207261"</f>
        <v>71207261</v>
      </c>
      <c r="B3824" t="s">
        <v>4014</v>
      </c>
      <c r="C3824" t="s">
        <v>15</v>
      </c>
      <c r="D3824" t="str">
        <f t="shared" si="117"/>
        <v>577308</v>
      </c>
      <c r="E3824" t="s">
        <v>4001</v>
      </c>
      <c r="F3824" t="s">
        <v>62</v>
      </c>
    </row>
    <row r="3825" spans="1:6" x14ac:dyDescent="0.25">
      <c r="A3825" t="str">
        <f>"09333916"</f>
        <v>09333916</v>
      </c>
      <c r="B3825" t="s">
        <v>4015</v>
      </c>
      <c r="C3825" t="s">
        <v>7</v>
      </c>
      <c r="D3825" t="str">
        <f t="shared" si="117"/>
        <v>577308</v>
      </c>
      <c r="E3825" t="s">
        <v>4001</v>
      </c>
      <c r="F3825" t="s">
        <v>35</v>
      </c>
    </row>
    <row r="3826" spans="1:6" x14ac:dyDescent="0.25">
      <c r="A3826" t="str">
        <f>"45598592"</f>
        <v>45598592</v>
      </c>
      <c r="B3826" t="s">
        <v>4016</v>
      </c>
      <c r="C3826" t="s">
        <v>7</v>
      </c>
      <c r="D3826" t="str">
        <f t="shared" si="117"/>
        <v>577308</v>
      </c>
      <c r="E3826" t="s">
        <v>4001</v>
      </c>
      <c r="F3826" t="s">
        <v>328</v>
      </c>
    </row>
    <row r="3827" spans="1:6" x14ac:dyDescent="0.25">
      <c r="A3827" t="str">
        <f>"26999064"</f>
        <v>26999064</v>
      </c>
      <c r="B3827" t="s">
        <v>4017</v>
      </c>
      <c r="C3827" t="s">
        <v>7</v>
      </c>
      <c r="D3827" t="str">
        <f t="shared" si="117"/>
        <v>577308</v>
      </c>
      <c r="E3827" t="s">
        <v>4001</v>
      </c>
      <c r="F3827" t="s">
        <v>9</v>
      </c>
    </row>
    <row r="3828" spans="1:6" x14ac:dyDescent="0.25">
      <c r="A3828" t="str">
        <f>"22867333"</f>
        <v>22867333</v>
      </c>
      <c r="B3828" t="s">
        <v>4018</v>
      </c>
      <c r="C3828" t="s">
        <v>7</v>
      </c>
      <c r="D3828" t="str">
        <f t="shared" si="117"/>
        <v>577308</v>
      </c>
      <c r="E3828" t="s">
        <v>4001</v>
      </c>
      <c r="F3828" t="s">
        <v>35</v>
      </c>
    </row>
    <row r="3829" spans="1:6" x14ac:dyDescent="0.25">
      <c r="A3829" t="str">
        <f>"15044025"</f>
        <v>15044025</v>
      </c>
      <c r="B3829" t="s">
        <v>4019</v>
      </c>
      <c r="C3829" t="s">
        <v>7</v>
      </c>
      <c r="D3829" t="str">
        <f t="shared" si="117"/>
        <v>577308</v>
      </c>
      <c r="E3829" t="s">
        <v>4001</v>
      </c>
      <c r="F3829" t="s">
        <v>35</v>
      </c>
    </row>
    <row r="3830" spans="1:6" x14ac:dyDescent="0.25">
      <c r="A3830" t="str">
        <f>"15045404"</f>
        <v>15045404</v>
      </c>
      <c r="B3830" t="s">
        <v>4020</v>
      </c>
      <c r="C3830" t="s">
        <v>7</v>
      </c>
      <c r="D3830" t="str">
        <f t="shared" si="117"/>
        <v>577308</v>
      </c>
      <c r="E3830" t="s">
        <v>4001</v>
      </c>
      <c r="F3830" t="s">
        <v>35</v>
      </c>
    </row>
    <row r="3831" spans="1:6" x14ac:dyDescent="0.25">
      <c r="A3831" t="str">
        <f>"45599416"</f>
        <v>45599416</v>
      </c>
      <c r="B3831" t="s">
        <v>4021</v>
      </c>
      <c r="C3831" t="s">
        <v>37</v>
      </c>
      <c r="D3831" t="str">
        <f t="shared" si="117"/>
        <v>577308</v>
      </c>
      <c r="E3831" t="s">
        <v>4001</v>
      </c>
      <c r="F3831" t="s">
        <v>38</v>
      </c>
    </row>
    <row r="3832" spans="1:6" x14ac:dyDescent="0.25">
      <c r="A3832" t="str">
        <f>"08198233"</f>
        <v>08198233</v>
      </c>
      <c r="B3832" t="s">
        <v>4022</v>
      </c>
      <c r="C3832" t="s">
        <v>7</v>
      </c>
      <c r="D3832" t="str">
        <f t="shared" si="117"/>
        <v>577308</v>
      </c>
      <c r="E3832" t="s">
        <v>4001</v>
      </c>
      <c r="F3832" t="s">
        <v>29</v>
      </c>
    </row>
    <row r="3833" spans="1:6" x14ac:dyDescent="0.25">
      <c r="A3833" t="str">
        <f>"02848953"</f>
        <v>02848953</v>
      </c>
      <c r="B3833" t="s">
        <v>4023</v>
      </c>
      <c r="C3833" t="s">
        <v>7</v>
      </c>
      <c r="D3833" t="str">
        <f t="shared" si="117"/>
        <v>577308</v>
      </c>
      <c r="E3833" t="s">
        <v>4001</v>
      </c>
      <c r="F3833" t="s">
        <v>9</v>
      </c>
    </row>
    <row r="3834" spans="1:6" x14ac:dyDescent="0.25">
      <c r="A3834" t="str">
        <f>"73635561"</f>
        <v>73635561</v>
      </c>
      <c r="B3834" t="s">
        <v>4024</v>
      </c>
      <c r="C3834" t="s">
        <v>43</v>
      </c>
      <c r="D3834" t="str">
        <f t="shared" si="117"/>
        <v>577308</v>
      </c>
      <c r="E3834" t="s">
        <v>4001</v>
      </c>
      <c r="F3834" t="s">
        <v>44</v>
      </c>
    </row>
    <row r="3835" spans="1:6" x14ac:dyDescent="0.25">
      <c r="A3835" t="str">
        <f>"17850070"</f>
        <v>17850070</v>
      </c>
      <c r="B3835" t="s">
        <v>4025</v>
      </c>
      <c r="C3835" t="s">
        <v>15</v>
      </c>
      <c r="D3835" t="str">
        <f t="shared" si="117"/>
        <v>577308</v>
      </c>
      <c r="E3835" t="s">
        <v>4001</v>
      </c>
      <c r="F3835" t="s">
        <v>139</v>
      </c>
    </row>
    <row r="3836" spans="1:6" x14ac:dyDescent="0.25">
      <c r="A3836" t="str">
        <f>"04378890"</f>
        <v>04378890</v>
      </c>
      <c r="B3836" t="s">
        <v>4026</v>
      </c>
      <c r="C3836" t="s">
        <v>15</v>
      </c>
      <c r="D3836" t="str">
        <f t="shared" si="117"/>
        <v>577308</v>
      </c>
      <c r="E3836" t="s">
        <v>4001</v>
      </c>
      <c r="F3836" t="s">
        <v>11</v>
      </c>
    </row>
    <row r="3837" spans="1:6" x14ac:dyDescent="0.25">
      <c r="A3837" t="str">
        <f>"49294351"</f>
        <v>49294351</v>
      </c>
      <c r="B3837" t="s">
        <v>4027</v>
      </c>
      <c r="C3837" t="s">
        <v>7</v>
      </c>
      <c r="D3837" t="str">
        <f t="shared" si="117"/>
        <v>577308</v>
      </c>
      <c r="E3837" t="s">
        <v>4001</v>
      </c>
      <c r="F3837" t="s">
        <v>11</v>
      </c>
    </row>
    <row r="3838" spans="1:6" x14ac:dyDescent="0.25">
      <c r="A3838" t="str">
        <f>"26541904"</f>
        <v>26541904</v>
      </c>
      <c r="B3838" t="s">
        <v>4028</v>
      </c>
      <c r="C3838" t="s">
        <v>7</v>
      </c>
      <c r="D3838" t="str">
        <f t="shared" si="117"/>
        <v>577308</v>
      </c>
      <c r="E3838" t="s">
        <v>4001</v>
      </c>
      <c r="F3838" t="s">
        <v>11</v>
      </c>
    </row>
    <row r="3839" spans="1:6" x14ac:dyDescent="0.25">
      <c r="A3839" t="str">
        <f>"22749233"</f>
        <v>22749233</v>
      </c>
      <c r="B3839" t="s">
        <v>4029</v>
      </c>
      <c r="C3839" t="s">
        <v>7</v>
      </c>
      <c r="D3839" t="str">
        <f t="shared" si="117"/>
        <v>577308</v>
      </c>
      <c r="E3839" t="s">
        <v>4001</v>
      </c>
      <c r="F3839" t="s">
        <v>11</v>
      </c>
    </row>
    <row r="3840" spans="1:6" x14ac:dyDescent="0.25">
      <c r="A3840" t="str">
        <f>"08150206"</f>
        <v>08150206</v>
      </c>
      <c r="B3840" t="s">
        <v>4030</v>
      </c>
      <c r="C3840" t="s">
        <v>7</v>
      </c>
      <c r="D3840" t="str">
        <f t="shared" si="117"/>
        <v>577308</v>
      </c>
      <c r="E3840" t="s">
        <v>4001</v>
      </c>
      <c r="F3840" t="s">
        <v>11</v>
      </c>
    </row>
    <row r="3841" spans="1:6" x14ac:dyDescent="0.25">
      <c r="A3841" t="str">
        <f>"26522829"</f>
        <v>26522829</v>
      </c>
      <c r="B3841" t="s">
        <v>4031</v>
      </c>
      <c r="C3841" t="s">
        <v>43</v>
      </c>
      <c r="D3841" t="str">
        <f t="shared" si="117"/>
        <v>577308</v>
      </c>
      <c r="E3841" t="s">
        <v>4001</v>
      </c>
      <c r="F3841" t="s">
        <v>44</v>
      </c>
    </row>
    <row r="3842" spans="1:6" x14ac:dyDescent="0.25">
      <c r="A3842" t="str">
        <f>"75154021"</f>
        <v>75154021</v>
      </c>
      <c r="B3842" t="s">
        <v>4032</v>
      </c>
      <c r="C3842" t="s">
        <v>15</v>
      </c>
      <c r="D3842" t="str">
        <f t="shared" si="117"/>
        <v>577308</v>
      </c>
      <c r="E3842" t="s">
        <v>4001</v>
      </c>
      <c r="F3842" t="s">
        <v>11</v>
      </c>
    </row>
    <row r="3843" spans="1:6" x14ac:dyDescent="0.25">
      <c r="A3843" t="str">
        <f>"26646838"</f>
        <v>26646838</v>
      </c>
      <c r="B3843" t="s">
        <v>4033</v>
      </c>
      <c r="C3843" t="s">
        <v>7</v>
      </c>
      <c r="D3843" t="str">
        <f t="shared" ref="D3843:D3874" si="118">"577308"</f>
        <v>577308</v>
      </c>
      <c r="E3843" t="s">
        <v>4001</v>
      </c>
      <c r="F3843" t="s">
        <v>11</v>
      </c>
    </row>
    <row r="3844" spans="1:6" x14ac:dyDescent="0.25">
      <c r="A3844" t="str">
        <f>"49294121"</f>
        <v>49294121</v>
      </c>
      <c r="B3844" t="s">
        <v>4034</v>
      </c>
      <c r="C3844" t="s">
        <v>7</v>
      </c>
      <c r="D3844" t="str">
        <f t="shared" si="118"/>
        <v>577308</v>
      </c>
      <c r="E3844" t="s">
        <v>4001</v>
      </c>
      <c r="F3844" t="s">
        <v>11</v>
      </c>
    </row>
    <row r="3845" spans="1:6" x14ac:dyDescent="0.25">
      <c r="A3845" t="str">
        <f>"15043053"</f>
        <v>15043053</v>
      </c>
      <c r="B3845" t="s">
        <v>4035</v>
      </c>
      <c r="C3845" t="s">
        <v>7</v>
      </c>
      <c r="D3845" t="str">
        <f t="shared" si="118"/>
        <v>577308</v>
      </c>
      <c r="E3845" t="s">
        <v>4001</v>
      </c>
      <c r="F3845" t="s">
        <v>35</v>
      </c>
    </row>
    <row r="3846" spans="1:6" x14ac:dyDescent="0.25">
      <c r="A3846" t="str">
        <f>"22714901"</f>
        <v>22714901</v>
      </c>
      <c r="B3846" t="s">
        <v>4036</v>
      </c>
      <c r="C3846" t="s">
        <v>7</v>
      </c>
      <c r="D3846" t="str">
        <f t="shared" si="118"/>
        <v>577308</v>
      </c>
      <c r="E3846" t="s">
        <v>4001</v>
      </c>
      <c r="F3846" t="s">
        <v>11</v>
      </c>
    </row>
    <row r="3847" spans="1:6" x14ac:dyDescent="0.25">
      <c r="A3847" t="str">
        <f>"15045862"</f>
        <v>15045862</v>
      </c>
      <c r="B3847" t="s">
        <v>4037</v>
      </c>
      <c r="C3847" t="s">
        <v>7</v>
      </c>
      <c r="D3847" t="str">
        <f t="shared" si="118"/>
        <v>577308</v>
      </c>
      <c r="E3847" t="s">
        <v>4001</v>
      </c>
      <c r="F3847" t="s">
        <v>38</v>
      </c>
    </row>
    <row r="3848" spans="1:6" x14ac:dyDescent="0.25">
      <c r="A3848" t="str">
        <f>"62014811"</f>
        <v>62014811</v>
      </c>
      <c r="B3848" t="s">
        <v>4038</v>
      </c>
      <c r="C3848" t="s">
        <v>43</v>
      </c>
      <c r="D3848" t="str">
        <f t="shared" si="118"/>
        <v>577308</v>
      </c>
      <c r="E3848" t="s">
        <v>4001</v>
      </c>
      <c r="F3848" t="s">
        <v>44</v>
      </c>
    </row>
    <row r="3849" spans="1:6" x14ac:dyDescent="0.25">
      <c r="A3849" t="str">
        <f>"26308452"</f>
        <v>26308452</v>
      </c>
      <c r="B3849" t="s">
        <v>4039</v>
      </c>
      <c r="C3849" t="s">
        <v>124</v>
      </c>
      <c r="D3849" t="str">
        <f t="shared" si="118"/>
        <v>577308</v>
      </c>
      <c r="E3849" t="s">
        <v>4001</v>
      </c>
      <c r="F3849" t="s">
        <v>11</v>
      </c>
    </row>
    <row r="3850" spans="1:6" x14ac:dyDescent="0.25">
      <c r="A3850" t="str">
        <f>"26647991"</f>
        <v>26647991</v>
      </c>
      <c r="B3850" t="s">
        <v>4040</v>
      </c>
      <c r="C3850" t="s">
        <v>7</v>
      </c>
      <c r="D3850" t="str">
        <f t="shared" si="118"/>
        <v>577308</v>
      </c>
      <c r="E3850" t="s">
        <v>4001</v>
      </c>
      <c r="F3850" t="s">
        <v>11</v>
      </c>
    </row>
    <row r="3851" spans="1:6" x14ac:dyDescent="0.25">
      <c r="A3851" t="str">
        <f>"27055485"</f>
        <v>27055485</v>
      </c>
      <c r="B3851" t="s">
        <v>4041</v>
      </c>
      <c r="C3851" t="s">
        <v>7</v>
      </c>
      <c r="D3851" t="str">
        <f t="shared" si="118"/>
        <v>577308</v>
      </c>
      <c r="E3851" t="s">
        <v>4001</v>
      </c>
      <c r="F3851" t="s">
        <v>11</v>
      </c>
    </row>
    <row r="3852" spans="1:6" x14ac:dyDescent="0.25">
      <c r="A3852" t="str">
        <f>"62012916"</f>
        <v>62012916</v>
      </c>
      <c r="B3852" t="s">
        <v>4042</v>
      </c>
      <c r="C3852" t="s">
        <v>15</v>
      </c>
      <c r="D3852" t="str">
        <f t="shared" si="118"/>
        <v>577308</v>
      </c>
      <c r="E3852" t="s">
        <v>4001</v>
      </c>
      <c r="F3852" t="s">
        <v>9</v>
      </c>
    </row>
    <row r="3853" spans="1:6" x14ac:dyDescent="0.25">
      <c r="A3853" t="str">
        <f>"70934088"</f>
        <v>70934088</v>
      </c>
      <c r="B3853" t="s">
        <v>4043</v>
      </c>
      <c r="C3853" t="s">
        <v>15</v>
      </c>
      <c r="D3853" t="str">
        <f t="shared" si="118"/>
        <v>577308</v>
      </c>
      <c r="E3853" t="s">
        <v>4001</v>
      </c>
      <c r="F3853" t="s">
        <v>9</v>
      </c>
    </row>
    <row r="3854" spans="1:6" x14ac:dyDescent="0.25">
      <c r="A3854" t="str">
        <f>"70936960"</f>
        <v>70936960</v>
      </c>
      <c r="B3854" t="s">
        <v>4044</v>
      </c>
      <c r="C3854" t="s">
        <v>20</v>
      </c>
      <c r="D3854" t="str">
        <f t="shared" si="118"/>
        <v>577308</v>
      </c>
      <c r="E3854" t="s">
        <v>4001</v>
      </c>
      <c r="F3854" t="s">
        <v>21</v>
      </c>
    </row>
    <row r="3855" spans="1:6" x14ac:dyDescent="0.25">
      <c r="A3855" t="str">
        <f>"49295616"</f>
        <v>49295616</v>
      </c>
      <c r="B3855" t="s">
        <v>4045</v>
      </c>
      <c r="C3855" t="s">
        <v>20</v>
      </c>
      <c r="D3855" t="str">
        <f t="shared" si="118"/>
        <v>577308</v>
      </c>
      <c r="E3855" t="s">
        <v>4001</v>
      </c>
      <c r="F3855" t="s">
        <v>21</v>
      </c>
    </row>
    <row r="3856" spans="1:6" x14ac:dyDescent="0.25">
      <c r="A3856" t="str">
        <f>"15045919"</f>
        <v>15045919</v>
      </c>
      <c r="B3856" t="s">
        <v>4046</v>
      </c>
      <c r="C3856" t="s">
        <v>7</v>
      </c>
      <c r="D3856" t="str">
        <f t="shared" si="118"/>
        <v>577308</v>
      </c>
      <c r="E3856" t="s">
        <v>4001</v>
      </c>
      <c r="F3856" t="s">
        <v>35</v>
      </c>
    </row>
    <row r="3857" spans="1:6" x14ac:dyDescent="0.25">
      <c r="A3857" t="str">
        <f>"06576818"</f>
        <v>06576818</v>
      </c>
      <c r="B3857" t="s">
        <v>4047</v>
      </c>
      <c r="C3857" t="s">
        <v>7</v>
      </c>
      <c r="D3857" t="str">
        <f t="shared" si="118"/>
        <v>577308</v>
      </c>
      <c r="E3857" t="s">
        <v>4001</v>
      </c>
      <c r="F3857" t="s">
        <v>11</v>
      </c>
    </row>
    <row r="3858" spans="1:6" x14ac:dyDescent="0.25">
      <c r="A3858" t="str">
        <f>"69343560"</f>
        <v>69343560</v>
      </c>
      <c r="B3858" t="s">
        <v>4048</v>
      </c>
      <c r="C3858" t="s">
        <v>20</v>
      </c>
      <c r="D3858" t="str">
        <f t="shared" si="118"/>
        <v>577308</v>
      </c>
      <c r="E3858" t="s">
        <v>4001</v>
      </c>
      <c r="F3858" t="s">
        <v>21</v>
      </c>
    </row>
    <row r="3859" spans="1:6" x14ac:dyDescent="0.25">
      <c r="A3859" t="str">
        <f>"21142955"</f>
        <v>21142955</v>
      </c>
      <c r="B3859" t="s">
        <v>4049</v>
      </c>
      <c r="C3859" t="s">
        <v>7</v>
      </c>
      <c r="D3859" t="str">
        <f t="shared" si="118"/>
        <v>577308</v>
      </c>
      <c r="E3859" t="s">
        <v>4001</v>
      </c>
      <c r="F3859" t="s">
        <v>29</v>
      </c>
    </row>
    <row r="3860" spans="1:6" x14ac:dyDescent="0.25">
      <c r="A3860" t="str">
        <f>"15045498"</f>
        <v>15045498</v>
      </c>
      <c r="B3860" t="s">
        <v>4050</v>
      </c>
      <c r="C3860" t="s">
        <v>43</v>
      </c>
      <c r="D3860" t="str">
        <f t="shared" si="118"/>
        <v>577308</v>
      </c>
      <c r="E3860" t="s">
        <v>4001</v>
      </c>
      <c r="F3860" t="s">
        <v>44</v>
      </c>
    </row>
    <row r="3861" spans="1:6" x14ac:dyDescent="0.25">
      <c r="A3861" t="str">
        <f>"49295420"</f>
        <v>49295420</v>
      </c>
      <c r="B3861" t="s">
        <v>4051</v>
      </c>
      <c r="C3861" t="s">
        <v>43</v>
      </c>
      <c r="D3861" t="str">
        <f t="shared" si="118"/>
        <v>577308</v>
      </c>
      <c r="E3861" t="s">
        <v>4001</v>
      </c>
      <c r="F3861" t="s">
        <v>44</v>
      </c>
    </row>
    <row r="3862" spans="1:6" x14ac:dyDescent="0.25">
      <c r="A3862" t="str">
        <f>"68210272"</f>
        <v>68210272</v>
      </c>
      <c r="B3862" t="s">
        <v>4052</v>
      </c>
      <c r="C3862" t="s">
        <v>7</v>
      </c>
      <c r="D3862" t="str">
        <f t="shared" si="118"/>
        <v>577308</v>
      </c>
      <c r="E3862" t="s">
        <v>4001</v>
      </c>
      <c r="F3862" t="s">
        <v>11</v>
      </c>
    </row>
    <row r="3863" spans="1:6" x14ac:dyDescent="0.25">
      <c r="A3863" t="str">
        <f>"45599718"</f>
        <v>45599718</v>
      </c>
      <c r="B3863" t="s">
        <v>4053</v>
      </c>
      <c r="C3863" t="s">
        <v>15</v>
      </c>
      <c r="D3863" t="str">
        <f t="shared" si="118"/>
        <v>577308</v>
      </c>
      <c r="E3863" t="s">
        <v>4001</v>
      </c>
      <c r="F3863" t="s">
        <v>11</v>
      </c>
    </row>
    <row r="3864" spans="1:6" x14ac:dyDescent="0.25">
      <c r="A3864" t="str">
        <f>"62014188"</f>
        <v>62014188</v>
      </c>
      <c r="B3864" t="s">
        <v>4054</v>
      </c>
      <c r="C3864" t="s">
        <v>15</v>
      </c>
      <c r="D3864" t="str">
        <f t="shared" si="118"/>
        <v>577308</v>
      </c>
      <c r="E3864" t="s">
        <v>4001</v>
      </c>
      <c r="F3864" t="s">
        <v>16</v>
      </c>
    </row>
    <row r="3865" spans="1:6" x14ac:dyDescent="0.25">
      <c r="A3865" t="str">
        <f>"62014153"</f>
        <v>62014153</v>
      </c>
      <c r="B3865" t="s">
        <v>4055</v>
      </c>
      <c r="C3865" t="s">
        <v>15</v>
      </c>
      <c r="D3865" t="str">
        <f t="shared" si="118"/>
        <v>577308</v>
      </c>
      <c r="E3865" t="s">
        <v>4001</v>
      </c>
      <c r="F3865" t="s">
        <v>16</v>
      </c>
    </row>
    <row r="3866" spans="1:6" x14ac:dyDescent="0.25">
      <c r="A3866" t="str">
        <f>"62013513"</f>
        <v>62013513</v>
      </c>
      <c r="B3866" t="s">
        <v>4056</v>
      </c>
      <c r="C3866" t="s">
        <v>15</v>
      </c>
      <c r="D3866" t="str">
        <f t="shared" si="118"/>
        <v>577308</v>
      </c>
      <c r="E3866" t="s">
        <v>4001</v>
      </c>
      <c r="F3866" t="s">
        <v>16</v>
      </c>
    </row>
    <row r="3867" spans="1:6" x14ac:dyDescent="0.25">
      <c r="A3867" t="str">
        <f>"62014030"</f>
        <v>62014030</v>
      </c>
      <c r="B3867" t="s">
        <v>4057</v>
      </c>
      <c r="C3867" t="s">
        <v>15</v>
      </c>
      <c r="D3867" t="str">
        <f t="shared" si="118"/>
        <v>577308</v>
      </c>
      <c r="E3867" t="s">
        <v>4001</v>
      </c>
      <c r="F3867" t="s">
        <v>16</v>
      </c>
    </row>
    <row r="3868" spans="1:6" x14ac:dyDescent="0.25">
      <c r="A3868" t="str">
        <f>"62013637"</f>
        <v>62013637</v>
      </c>
      <c r="B3868" t="s">
        <v>4058</v>
      </c>
      <c r="C3868" t="s">
        <v>15</v>
      </c>
      <c r="D3868" t="str">
        <f t="shared" si="118"/>
        <v>577308</v>
      </c>
      <c r="E3868" t="s">
        <v>4001</v>
      </c>
      <c r="F3868" t="s">
        <v>16</v>
      </c>
    </row>
    <row r="3869" spans="1:6" x14ac:dyDescent="0.25">
      <c r="A3869" t="str">
        <f>"62013874"</f>
        <v>62013874</v>
      </c>
      <c r="B3869" t="s">
        <v>4059</v>
      </c>
      <c r="C3869" t="s">
        <v>15</v>
      </c>
      <c r="D3869" t="str">
        <f t="shared" si="118"/>
        <v>577308</v>
      </c>
      <c r="E3869" t="s">
        <v>4001</v>
      </c>
      <c r="F3869" t="s">
        <v>16</v>
      </c>
    </row>
    <row r="3870" spans="1:6" x14ac:dyDescent="0.25">
      <c r="A3870" t="str">
        <f>"06147488"</f>
        <v>06147488</v>
      </c>
      <c r="B3870" t="s">
        <v>4060</v>
      </c>
      <c r="C3870" t="s">
        <v>7</v>
      </c>
      <c r="D3870" t="str">
        <f t="shared" si="118"/>
        <v>577308</v>
      </c>
      <c r="E3870" t="s">
        <v>4001</v>
      </c>
      <c r="F3870" t="s">
        <v>11</v>
      </c>
    </row>
    <row r="3871" spans="1:6" x14ac:dyDescent="0.25">
      <c r="A3871" t="str">
        <f>"04534000"</f>
        <v>04534000</v>
      </c>
      <c r="B3871" t="s">
        <v>4061</v>
      </c>
      <c r="C3871" t="s">
        <v>7</v>
      </c>
      <c r="D3871" t="str">
        <f t="shared" si="118"/>
        <v>577308</v>
      </c>
      <c r="E3871" t="s">
        <v>4001</v>
      </c>
      <c r="F3871" t="s">
        <v>254</v>
      </c>
    </row>
    <row r="3872" spans="1:6" x14ac:dyDescent="0.25">
      <c r="A3872" t="str">
        <f>"03099024"</f>
        <v>03099024</v>
      </c>
      <c r="B3872" t="s">
        <v>4062</v>
      </c>
      <c r="C3872" t="s">
        <v>7</v>
      </c>
      <c r="D3872" t="str">
        <f t="shared" si="118"/>
        <v>577308</v>
      </c>
      <c r="E3872" t="s">
        <v>4001</v>
      </c>
      <c r="F3872" t="s">
        <v>62</v>
      </c>
    </row>
    <row r="3873" spans="1:6" x14ac:dyDescent="0.25">
      <c r="A3873" t="str">
        <f>"01676733"</f>
        <v>01676733</v>
      </c>
      <c r="B3873" t="s">
        <v>4063</v>
      </c>
      <c r="C3873" t="s">
        <v>7</v>
      </c>
      <c r="D3873" t="str">
        <f t="shared" si="118"/>
        <v>577308</v>
      </c>
      <c r="E3873" t="s">
        <v>4001</v>
      </c>
      <c r="F3873" t="s">
        <v>11</v>
      </c>
    </row>
    <row r="3874" spans="1:6" x14ac:dyDescent="0.25">
      <c r="A3874" t="str">
        <f>"68212585"</f>
        <v>68212585</v>
      </c>
      <c r="B3874" t="s">
        <v>4064</v>
      </c>
      <c r="C3874" t="s">
        <v>7</v>
      </c>
      <c r="D3874" t="str">
        <f t="shared" si="118"/>
        <v>577308</v>
      </c>
      <c r="E3874" t="s">
        <v>4001</v>
      </c>
      <c r="F3874" t="s">
        <v>4065</v>
      </c>
    </row>
    <row r="3875" spans="1:6" x14ac:dyDescent="0.25">
      <c r="A3875" t="str">
        <f>"04152875"</f>
        <v>04152875</v>
      </c>
      <c r="B3875" t="s">
        <v>4066</v>
      </c>
      <c r="C3875" t="s">
        <v>15</v>
      </c>
      <c r="D3875" t="str">
        <f t="shared" ref="D3875:D3885" si="119">"577308"</f>
        <v>577308</v>
      </c>
      <c r="E3875" t="s">
        <v>4001</v>
      </c>
      <c r="F3875" t="s">
        <v>137</v>
      </c>
    </row>
    <row r="3876" spans="1:6" x14ac:dyDescent="0.25">
      <c r="A3876" t="str">
        <f>"05107555"</f>
        <v>05107555</v>
      </c>
      <c r="B3876" t="s">
        <v>4067</v>
      </c>
      <c r="C3876" t="s">
        <v>7</v>
      </c>
      <c r="D3876" t="str">
        <f t="shared" si="119"/>
        <v>577308</v>
      </c>
      <c r="E3876" t="s">
        <v>4001</v>
      </c>
      <c r="F3876" t="s">
        <v>62</v>
      </c>
    </row>
    <row r="3877" spans="1:6" x14ac:dyDescent="0.25">
      <c r="A3877" t="str">
        <f>"62014731"</f>
        <v>62014731</v>
      </c>
      <c r="B3877" t="s">
        <v>4068</v>
      </c>
      <c r="C3877" t="s">
        <v>15</v>
      </c>
      <c r="D3877" t="str">
        <f t="shared" si="119"/>
        <v>577308</v>
      </c>
      <c r="E3877" t="s">
        <v>4001</v>
      </c>
      <c r="F3877" t="s">
        <v>29</v>
      </c>
    </row>
    <row r="3878" spans="1:6" x14ac:dyDescent="0.25">
      <c r="A3878" t="str">
        <f>"04324544"</f>
        <v>04324544</v>
      </c>
      <c r="B3878" t="s">
        <v>4069</v>
      </c>
      <c r="C3878" t="s">
        <v>7</v>
      </c>
      <c r="D3878" t="str">
        <f t="shared" si="119"/>
        <v>577308</v>
      </c>
      <c r="E3878" t="s">
        <v>4001</v>
      </c>
      <c r="F3878" t="s">
        <v>65</v>
      </c>
    </row>
    <row r="3879" spans="1:6" x14ac:dyDescent="0.25">
      <c r="A3879" t="str">
        <f>"49296213"</f>
        <v>49296213</v>
      </c>
      <c r="B3879" t="s">
        <v>4070</v>
      </c>
      <c r="C3879" t="s">
        <v>15</v>
      </c>
      <c r="D3879" t="str">
        <f t="shared" si="119"/>
        <v>577308</v>
      </c>
      <c r="E3879" t="s">
        <v>4001</v>
      </c>
      <c r="F3879" t="s">
        <v>9</v>
      </c>
    </row>
    <row r="3880" spans="1:6" x14ac:dyDescent="0.25">
      <c r="A3880" t="str">
        <f>"15045200"</f>
        <v>15045200</v>
      </c>
      <c r="B3880" t="s">
        <v>4071</v>
      </c>
      <c r="C3880" t="s">
        <v>15</v>
      </c>
      <c r="D3880" t="str">
        <f t="shared" si="119"/>
        <v>577308</v>
      </c>
      <c r="E3880" t="s">
        <v>4001</v>
      </c>
      <c r="F3880" t="s">
        <v>9</v>
      </c>
    </row>
    <row r="3881" spans="1:6" x14ac:dyDescent="0.25">
      <c r="A3881" t="str">
        <f>"45599238"</f>
        <v>45599238</v>
      </c>
      <c r="B3881" t="s">
        <v>4072</v>
      </c>
      <c r="C3881" t="s">
        <v>7</v>
      </c>
      <c r="D3881" t="str">
        <f t="shared" si="119"/>
        <v>577308</v>
      </c>
      <c r="E3881" t="s">
        <v>4001</v>
      </c>
      <c r="F3881" t="s">
        <v>35</v>
      </c>
    </row>
    <row r="3882" spans="1:6" x14ac:dyDescent="0.25">
      <c r="A3882" t="str">
        <f>"69172579"</f>
        <v>69172579</v>
      </c>
      <c r="B3882" t="s">
        <v>4073</v>
      </c>
      <c r="C3882" t="s">
        <v>15</v>
      </c>
      <c r="D3882" t="str">
        <f t="shared" si="119"/>
        <v>577308</v>
      </c>
      <c r="E3882" t="s">
        <v>4001</v>
      </c>
      <c r="F3882" t="s">
        <v>11</v>
      </c>
    </row>
    <row r="3883" spans="1:6" x14ac:dyDescent="0.25">
      <c r="A3883" t="str">
        <f>"26667495"</f>
        <v>26667495</v>
      </c>
      <c r="B3883" t="s">
        <v>4074</v>
      </c>
      <c r="C3883" t="s">
        <v>7</v>
      </c>
      <c r="D3883" t="str">
        <f t="shared" si="119"/>
        <v>577308</v>
      </c>
      <c r="E3883" t="s">
        <v>4001</v>
      </c>
      <c r="F3883" t="s">
        <v>11</v>
      </c>
    </row>
    <row r="3884" spans="1:6" x14ac:dyDescent="0.25">
      <c r="A3884" t="str">
        <f>"15043258"</f>
        <v>15043258</v>
      </c>
      <c r="B3884" t="s">
        <v>4075</v>
      </c>
      <c r="C3884" t="s">
        <v>20</v>
      </c>
      <c r="D3884" t="str">
        <f t="shared" si="119"/>
        <v>577308</v>
      </c>
      <c r="E3884" t="s">
        <v>4001</v>
      </c>
      <c r="F3884" t="s">
        <v>21</v>
      </c>
    </row>
    <row r="3885" spans="1:6" x14ac:dyDescent="0.25">
      <c r="A3885" t="str">
        <f>"70155135"</f>
        <v>70155135</v>
      </c>
      <c r="B3885" t="s">
        <v>4076</v>
      </c>
      <c r="C3885" t="s">
        <v>20</v>
      </c>
      <c r="D3885" t="str">
        <f t="shared" si="119"/>
        <v>577308</v>
      </c>
      <c r="E3885" t="s">
        <v>4001</v>
      </c>
      <c r="F3885" t="s">
        <v>21</v>
      </c>
    </row>
    <row r="3886" spans="1:6" x14ac:dyDescent="0.25">
      <c r="A3886" t="str">
        <f>"62013441"</f>
        <v>62013441</v>
      </c>
      <c r="B3886" t="s">
        <v>4077</v>
      </c>
      <c r="C3886" t="s">
        <v>15</v>
      </c>
      <c r="D3886" t="str">
        <f>"573400"</f>
        <v>573400</v>
      </c>
      <c r="E3886" t="s">
        <v>4078</v>
      </c>
      <c r="F3886" t="s">
        <v>16</v>
      </c>
    </row>
    <row r="3887" spans="1:6" x14ac:dyDescent="0.25">
      <c r="A3887" t="str">
        <f>"70698104"</f>
        <v>70698104</v>
      </c>
      <c r="B3887" t="s">
        <v>4079</v>
      </c>
      <c r="C3887" t="s">
        <v>15</v>
      </c>
      <c r="D3887" t="str">
        <f>"573400"</f>
        <v>573400</v>
      </c>
      <c r="E3887" t="s">
        <v>4078</v>
      </c>
      <c r="F3887" t="s">
        <v>9</v>
      </c>
    </row>
    <row r="3888" spans="1:6" x14ac:dyDescent="0.25">
      <c r="A3888" t="str">
        <f>"04708032"</f>
        <v>04708032</v>
      </c>
      <c r="B3888" t="s">
        <v>4080</v>
      </c>
      <c r="C3888" t="s">
        <v>7</v>
      </c>
      <c r="D3888" t="str">
        <f>"563684"</f>
        <v>563684</v>
      </c>
      <c r="E3888" t="s">
        <v>4081</v>
      </c>
      <c r="F3888" t="s">
        <v>13</v>
      </c>
    </row>
    <row r="3889" spans="1:6" x14ac:dyDescent="0.25">
      <c r="A3889" t="str">
        <f>"22667849"</f>
        <v>22667849</v>
      </c>
      <c r="B3889" t="s">
        <v>4082</v>
      </c>
      <c r="C3889" t="s">
        <v>7</v>
      </c>
      <c r="D3889" t="str">
        <f>"563684"</f>
        <v>563684</v>
      </c>
      <c r="E3889" t="s">
        <v>4081</v>
      </c>
      <c r="F3889" t="s">
        <v>11</v>
      </c>
    </row>
    <row r="3890" spans="1:6" x14ac:dyDescent="0.25">
      <c r="A3890" t="str">
        <f>"64668088"</f>
        <v>64668088</v>
      </c>
      <c r="B3890" t="s">
        <v>4083</v>
      </c>
      <c r="C3890" t="s">
        <v>15</v>
      </c>
      <c r="D3890" t="str">
        <f>"563684"</f>
        <v>563684</v>
      </c>
      <c r="E3890" t="s">
        <v>4081</v>
      </c>
      <c r="F3890" t="s">
        <v>16</v>
      </c>
    </row>
    <row r="3891" spans="1:6" x14ac:dyDescent="0.25">
      <c r="A3891" t="str">
        <f>"03185010"</f>
        <v>03185010</v>
      </c>
      <c r="B3891" t="s">
        <v>4084</v>
      </c>
      <c r="C3891" t="s">
        <v>1038</v>
      </c>
      <c r="D3891" t="str">
        <f>"563684"</f>
        <v>563684</v>
      </c>
      <c r="E3891" t="s">
        <v>4081</v>
      </c>
      <c r="F3891" t="s">
        <v>1039</v>
      </c>
    </row>
    <row r="3892" spans="1:6" x14ac:dyDescent="0.25">
      <c r="A3892" t="str">
        <f>"16389042"</f>
        <v>16389042</v>
      </c>
      <c r="B3892" t="s">
        <v>4085</v>
      </c>
      <c r="C3892" t="s">
        <v>7</v>
      </c>
      <c r="D3892" t="str">
        <f>"563684"</f>
        <v>563684</v>
      </c>
      <c r="E3892" t="s">
        <v>4081</v>
      </c>
      <c r="F3892" t="s">
        <v>9</v>
      </c>
    </row>
    <row r="3893" spans="1:6" x14ac:dyDescent="0.25">
      <c r="A3893" t="str">
        <f>"48282219"</f>
        <v>48282219</v>
      </c>
      <c r="B3893" t="s">
        <v>4086</v>
      </c>
      <c r="C3893" t="s">
        <v>7</v>
      </c>
      <c r="D3893" t="str">
        <f>"514161"</f>
        <v>514161</v>
      </c>
      <c r="E3893" t="s">
        <v>4087</v>
      </c>
      <c r="F3893" t="s">
        <v>9</v>
      </c>
    </row>
    <row r="3894" spans="1:6" x14ac:dyDescent="0.25">
      <c r="A3894" t="str">
        <f>"08414785"</f>
        <v>08414785</v>
      </c>
      <c r="B3894" t="s">
        <v>4088</v>
      </c>
      <c r="C3894" t="s">
        <v>7</v>
      </c>
      <c r="D3894" t="str">
        <f>"514161"</f>
        <v>514161</v>
      </c>
      <c r="E3894" t="s">
        <v>4087</v>
      </c>
      <c r="F3894" t="s">
        <v>35</v>
      </c>
    </row>
    <row r="3895" spans="1:6" x14ac:dyDescent="0.25">
      <c r="A3895" t="str">
        <f>"22770011"</f>
        <v>22770011</v>
      </c>
      <c r="B3895" t="s">
        <v>4089</v>
      </c>
      <c r="C3895" t="s">
        <v>7</v>
      </c>
      <c r="D3895" t="str">
        <f>"514161"</f>
        <v>514161</v>
      </c>
      <c r="E3895" t="s">
        <v>4087</v>
      </c>
      <c r="F3895" t="s">
        <v>11</v>
      </c>
    </row>
    <row r="3896" spans="1:6" x14ac:dyDescent="0.25">
      <c r="A3896" t="str">
        <f>"26564769"</f>
        <v>26564769</v>
      </c>
      <c r="B3896" t="s">
        <v>4090</v>
      </c>
      <c r="C3896" t="s">
        <v>7</v>
      </c>
      <c r="D3896" t="str">
        <f t="shared" ref="D3896:D3918" si="120">"563692"</f>
        <v>563692</v>
      </c>
      <c r="E3896" t="s">
        <v>4091</v>
      </c>
      <c r="F3896" t="s">
        <v>2579</v>
      </c>
    </row>
    <row r="3897" spans="1:6" x14ac:dyDescent="0.25">
      <c r="A3897" t="str">
        <f>"06165958"</f>
        <v>06165958</v>
      </c>
      <c r="B3897" t="s">
        <v>4092</v>
      </c>
      <c r="C3897" t="s">
        <v>7</v>
      </c>
      <c r="D3897" t="str">
        <f t="shared" si="120"/>
        <v>563692</v>
      </c>
      <c r="E3897" t="s">
        <v>4091</v>
      </c>
      <c r="F3897" t="s">
        <v>35</v>
      </c>
    </row>
    <row r="3898" spans="1:6" x14ac:dyDescent="0.25">
      <c r="A3898" t="str">
        <f>"22714561"</f>
        <v>22714561</v>
      </c>
      <c r="B3898" t="s">
        <v>4093</v>
      </c>
      <c r="C3898" t="s">
        <v>7</v>
      </c>
      <c r="D3898" t="str">
        <f t="shared" si="120"/>
        <v>563692</v>
      </c>
      <c r="E3898" t="s">
        <v>4091</v>
      </c>
      <c r="F3898" t="s">
        <v>389</v>
      </c>
    </row>
    <row r="3899" spans="1:6" x14ac:dyDescent="0.25">
      <c r="A3899" t="str">
        <f>"27013600"</f>
        <v>27013600</v>
      </c>
      <c r="B3899" t="s">
        <v>4094</v>
      </c>
      <c r="C3899" t="s">
        <v>7</v>
      </c>
      <c r="D3899" t="str">
        <f t="shared" si="120"/>
        <v>563692</v>
      </c>
      <c r="E3899" t="s">
        <v>4091</v>
      </c>
      <c r="F3899" t="s">
        <v>11</v>
      </c>
    </row>
    <row r="3900" spans="1:6" x14ac:dyDescent="0.25">
      <c r="A3900" t="str">
        <f>"22857281"</f>
        <v>22857281</v>
      </c>
      <c r="B3900" t="s">
        <v>4095</v>
      </c>
      <c r="C3900" t="s">
        <v>7</v>
      </c>
      <c r="D3900" t="str">
        <f t="shared" si="120"/>
        <v>563692</v>
      </c>
      <c r="E3900" t="s">
        <v>4091</v>
      </c>
      <c r="F3900" t="s">
        <v>11</v>
      </c>
    </row>
    <row r="3901" spans="1:6" x14ac:dyDescent="0.25">
      <c r="A3901" t="str">
        <f>"09500766"</f>
        <v>09500766</v>
      </c>
      <c r="B3901" t="s">
        <v>4096</v>
      </c>
      <c r="C3901" t="s">
        <v>7</v>
      </c>
      <c r="D3901" t="str">
        <f t="shared" si="120"/>
        <v>563692</v>
      </c>
      <c r="E3901" t="s">
        <v>4091</v>
      </c>
      <c r="F3901" t="s">
        <v>139</v>
      </c>
    </row>
    <row r="3902" spans="1:6" x14ac:dyDescent="0.25">
      <c r="A3902" t="str">
        <f>"26985217"</f>
        <v>26985217</v>
      </c>
      <c r="B3902" t="s">
        <v>4097</v>
      </c>
      <c r="C3902" t="s">
        <v>7</v>
      </c>
      <c r="D3902" t="str">
        <f t="shared" si="120"/>
        <v>563692</v>
      </c>
      <c r="E3902" t="s">
        <v>4091</v>
      </c>
      <c r="F3902" t="s">
        <v>11</v>
      </c>
    </row>
    <row r="3903" spans="1:6" x14ac:dyDescent="0.25">
      <c r="A3903" t="str">
        <f>"60252162"</f>
        <v>60252162</v>
      </c>
      <c r="B3903" t="s">
        <v>4098</v>
      </c>
      <c r="C3903" t="s">
        <v>7</v>
      </c>
      <c r="D3903" t="str">
        <f t="shared" si="120"/>
        <v>563692</v>
      </c>
      <c r="E3903" t="s">
        <v>4091</v>
      </c>
      <c r="F3903" t="s">
        <v>38</v>
      </c>
    </row>
    <row r="3904" spans="1:6" x14ac:dyDescent="0.25">
      <c r="A3904" t="str">
        <f>"02506904"</f>
        <v>02506904</v>
      </c>
      <c r="B3904" t="s">
        <v>4099</v>
      </c>
      <c r="C3904" t="s">
        <v>7</v>
      </c>
      <c r="D3904" t="str">
        <f t="shared" si="120"/>
        <v>563692</v>
      </c>
      <c r="E3904" t="s">
        <v>4091</v>
      </c>
      <c r="F3904" t="s">
        <v>11</v>
      </c>
    </row>
    <row r="3905" spans="1:6" x14ac:dyDescent="0.25">
      <c r="A3905" t="str">
        <f>"26554968"</f>
        <v>26554968</v>
      </c>
      <c r="B3905" t="s">
        <v>4100</v>
      </c>
      <c r="C3905" t="s">
        <v>7</v>
      </c>
      <c r="D3905" t="str">
        <f t="shared" si="120"/>
        <v>563692</v>
      </c>
      <c r="E3905" t="s">
        <v>4091</v>
      </c>
      <c r="F3905" t="s">
        <v>18</v>
      </c>
    </row>
    <row r="3906" spans="1:6" x14ac:dyDescent="0.25">
      <c r="A3906" t="str">
        <f>"22668357"</f>
        <v>22668357</v>
      </c>
      <c r="B3906" t="s">
        <v>4101</v>
      </c>
      <c r="C3906" t="s">
        <v>7</v>
      </c>
      <c r="D3906" t="str">
        <f t="shared" si="120"/>
        <v>563692</v>
      </c>
      <c r="E3906" t="s">
        <v>4091</v>
      </c>
      <c r="F3906" t="s">
        <v>9</v>
      </c>
    </row>
    <row r="3907" spans="1:6" x14ac:dyDescent="0.25">
      <c r="A3907" t="str">
        <f>"60252677"</f>
        <v>60252677</v>
      </c>
      <c r="B3907" t="s">
        <v>4102</v>
      </c>
      <c r="C3907" t="s">
        <v>7</v>
      </c>
      <c r="D3907" t="str">
        <f t="shared" si="120"/>
        <v>563692</v>
      </c>
      <c r="E3907" t="s">
        <v>4091</v>
      </c>
      <c r="F3907" t="s">
        <v>137</v>
      </c>
    </row>
    <row r="3908" spans="1:6" x14ac:dyDescent="0.25">
      <c r="A3908" t="str">
        <f>"22690590"</f>
        <v>22690590</v>
      </c>
      <c r="B3908" t="s">
        <v>4103</v>
      </c>
      <c r="C3908" t="s">
        <v>7</v>
      </c>
      <c r="D3908" t="str">
        <f t="shared" si="120"/>
        <v>563692</v>
      </c>
      <c r="E3908" t="s">
        <v>4091</v>
      </c>
      <c r="F3908" t="s">
        <v>139</v>
      </c>
    </row>
    <row r="3909" spans="1:6" x14ac:dyDescent="0.25">
      <c r="A3909" t="str">
        <f>"71229591"</f>
        <v>71229591</v>
      </c>
      <c r="B3909" t="s">
        <v>4104</v>
      </c>
      <c r="C3909" t="s">
        <v>7</v>
      </c>
      <c r="D3909" t="str">
        <f t="shared" si="120"/>
        <v>563692</v>
      </c>
      <c r="E3909" t="s">
        <v>4091</v>
      </c>
      <c r="F3909" t="s">
        <v>11</v>
      </c>
    </row>
    <row r="3910" spans="1:6" x14ac:dyDescent="0.25">
      <c r="A3910" t="str">
        <f>"08834075"</f>
        <v>08834075</v>
      </c>
      <c r="B3910" t="s">
        <v>4105</v>
      </c>
      <c r="C3910" t="s">
        <v>7</v>
      </c>
      <c r="D3910" t="str">
        <f t="shared" si="120"/>
        <v>563692</v>
      </c>
      <c r="E3910" t="s">
        <v>4091</v>
      </c>
      <c r="F3910" t="s">
        <v>35</v>
      </c>
    </row>
    <row r="3911" spans="1:6" x14ac:dyDescent="0.25">
      <c r="A3911" t="str">
        <f>"43256856"</f>
        <v>43256856</v>
      </c>
      <c r="B3911" t="s">
        <v>4106</v>
      </c>
      <c r="C3911" t="s">
        <v>15</v>
      </c>
      <c r="D3911" t="str">
        <f t="shared" si="120"/>
        <v>563692</v>
      </c>
      <c r="E3911" t="s">
        <v>4091</v>
      </c>
      <c r="F3911" t="s">
        <v>16</v>
      </c>
    </row>
    <row r="3912" spans="1:6" x14ac:dyDescent="0.25">
      <c r="A3912" t="str">
        <f>"26635402"</f>
        <v>26635402</v>
      </c>
      <c r="B3912" t="s">
        <v>4107</v>
      </c>
      <c r="C3912" t="s">
        <v>7</v>
      </c>
      <c r="D3912" t="str">
        <f t="shared" si="120"/>
        <v>563692</v>
      </c>
      <c r="E3912" t="s">
        <v>4091</v>
      </c>
      <c r="F3912" t="s">
        <v>9</v>
      </c>
    </row>
    <row r="3913" spans="1:6" x14ac:dyDescent="0.25">
      <c r="A3913" t="str">
        <f>"26577682"</f>
        <v>26577682</v>
      </c>
      <c r="B3913" t="s">
        <v>4108</v>
      </c>
      <c r="C3913" t="s">
        <v>7</v>
      </c>
      <c r="D3913" t="str">
        <f t="shared" si="120"/>
        <v>563692</v>
      </c>
      <c r="E3913" t="s">
        <v>4091</v>
      </c>
      <c r="F3913" t="s">
        <v>62</v>
      </c>
    </row>
    <row r="3914" spans="1:6" x14ac:dyDescent="0.25">
      <c r="A3914" t="str">
        <f>"72754265"</f>
        <v>72754265</v>
      </c>
      <c r="B3914" t="s">
        <v>4109</v>
      </c>
      <c r="C3914" t="s">
        <v>15</v>
      </c>
      <c r="D3914" t="str">
        <f t="shared" si="120"/>
        <v>563692</v>
      </c>
      <c r="E3914" t="s">
        <v>4091</v>
      </c>
      <c r="F3914" t="s">
        <v>137</v>
      </c>
    </row>
    <row r="3915" spans="1:6" x14ac:dyDescent="0.25">
      <c r="A3915" t="str">
        <f>"26674432"</f>
        <v>26674432</v>
      </c>
      <c r="B3915" t="s">
        <v>4110</v>
      </c>
      <c r="C3915" t="s">
        <v>7</v>
      </c>
      <c r="D3915" t="str">
        <f t="shared" si="120"/>
        <v>563692</v>
      </c>
      <c r="E3915" t="s">
        <v>4091</v>
      </c>
      <c r="F3915" t="s">
        <v>11</v>
      </c>
    </row>
    <row r="3916" spans="1:6" x14ac:dyDescent="0.25">
      <c r="A3916" t="str">
        <f>"06626521"</f>
        <v>06626521</v>
      </c>
      <c r="B3916" t="s">
        <v>4111</v>
      </c>
      <c r="C3916" t="s">
        <v>7</v>
      </c>
      <c r="D3916" t="str">
        <f t="shared" si="120"/>
        <v>563692</v>
      </c>
      <c r="E3916" t="s">
        <v>4091</v>
      </c>
      <c r="F3916" t="s">
        <v>11</v>
      </c>
    </row>
    <row r="3917" spans="1:6" x14ac:dyDescent="0.25">
      <c r="A3917" t="str">
        <f>"16389115"</f>
        <v>16389115</v>
      </c>
      <c r="B3917" t="s">
        <v>4112</v>
      </c>
      <c r="C3917" t="s">
        <v>7</v>
      </c>
      <c r="D3917" t="str">
        <f t="shared" si="120"/>
        <v>563692</v>
      </c>
      <c r="E3917" t="s">
        <v>4091</v>
      </c>
      <c r="F3917" t="s">
        <v>9</v>
      </c>
    </row>
    <row r="3918" spans="1:6" x14ac:dyDescent="0.25">
      <c r="A3918" t="str">
        <f>"66111340"</f>
        <v>66111340</v>
      </c>
      <c r="B3918" t="s">
        <v>4113</v>
      </c>
      <c r="C3918" t="s">
        <v>7</v>
      </c>
      <c r="D3918" t="str">
        <f t="shared" si="120"/>
        <v>563692</v>
      </c>
      <c r="E3918" t="s">
        <v>4091</v>
      </c>
      <c r="F3918" t="s">
        <v>9</v>
      </c>
    </row>
    <row r="3919" spans="1:6" x14ac:dyDescent="0.25">
      <c r="A3919" t="str">
        <f>"26634899"</f>
        <v>26634899</v>
      </c>
      <c r="B3919" t="s">
        <v>4114</v>
      </c>
      <c r="C3919" t="s">
        <v>7</v>
      </c>
      <c r="D3919" t="str">
        <f t="shared" ref="D3919:D3925" si="121">"564206"</f>
        <v>564206</v>
      </c>
      <c r="E3919" t="s">
        <v>4115</v>
      </c>
      <c r="F3919" t="s">
        <v>9</v>
      </c>
    </row>
    <row r="3920" spans="1:6" x14ac:dyDescent="0.25">
      <c r="A3920" t="str">
        <f>"26987856"</f>
        <v>26987856</v>
      </c>
      <c r="B3920" t="s">
        <v>4116</v>
      </c>
      <c r="C3920" t="s">
        <v>7</v>
      </c>
      <c r="D3920" t="str">
        <f t="shared" si="121"/>
        <v>564206</v>
      </c>
      <c r="E3920" t="s">
        <v>4115</v>
      </c>
      <c r="F3920" t="s">
        <v>11</v>
      </c>
    </row>
    <row r="3921" spans="1:6" x14ac:dyDescent="0.25">
      <c r="A3921" t="str">
        <f>"46748334"</f>
        <v>46748334</v>
      </c>
      <c r="B3921" t="s">
        <v>4117</v>
      </c>
      <c r="C3921" t="s">
        <v>7</v>
      </c>
      <c r="D3921" t="str">
        <f t="shared" si="121"/>
        <v>564206</v>
      </c>
      <c r="E3921" t="s">
        <v>4115</v>
      </c>
      <c r="F3921" t="s">
        <v>38</v>
      </c>
    </row>
    <row r="3922" spans="1:6" x14ac:dyDescent="0.25">
      <c r="A3922" t="str">
        <f>"19508093"</f>
        <v>19508093</v>
      </c>
      <c r="B3922" t="s">
        <v>4118</v>
      </c>
      <c r="C3922" t="s">
        <v>20</v>
      </c>
      <c r="D3922" t="str">
        <f t="shared" si="121"/>
        <v>564206</v>
      </c>
      <c r="E3922" t="s">
        <v>4115</v>
      </c>
      <c r="F3922" t="s">
        <v>21</v>
      </c>
    </row>
    <row r="3923" spans="1:6" x14ac:dyDescent="0.25">
      <c r="A3923" t="str">
        <f>"49111931"</f>
        <v>49111931</v>
      </c>
      <c r="B3923" t="s">
        <v>4119</v>
      </c>
      <c r="C3923" t="s">
        <v>15</v>
      </c>
      <c r="D3923" t="str">
        <f t="shared" si="121"/>
        <v>564206</v>
      </c>
      <c r="E3923" t="s">
        <v>4115</v>
      </c>
      <c r="F3923" t="s">
        <v>16</v>
      </c>
    </row>
    <row r="3924" spans="1:6" x14ac:dyDescent="0.25">
      <c r="A3924" t="str">
        <f>"28736010"</f>
        <v>28736010</v>
      </c>
      <c r="B3924" t="s">
        <v>4120</v>
      </c>
      <c r="C3924" t="s">
        <v>78</v>
      </c>
      <c r="D3924" t="str">
        <f t="shared" si="121"/>
        <v>564206</v>
      </c>
      <c r="E3924" t="s">
        <v>4115</v>
      </c>
      <c r="F3924" t="s">
        <v>4121</v>
      </c>
    </row>
    <row r="3925" spans="1:6" x14ac:dyDescent="0.25">
      <c r="A3925" t="str">
        <f>"46744347"</f>
        <v>46744347</v>
      </c>
      <c r="B3925" t="s">
        <v>4122</v>
      </c>
      <c r="C3925" t="s">
        <v>7</v>
      </c>
      <c r="D3925" t="str">
        <f t="shared" si="121"/>
        <v>564206</v>
      </c>
      <c r="E3925" t="s">
        <v>4115</v>
      </c>
      <c r="F3925" t="s">
        <v>9</v>
      </c>
    </row>
    <row r="3926" spans="1:6" x14ac:dyDescent="0.25">
      <c r="A3926" t="str">
        <f>"22755756"</f>
        <v>22755756</v>
      </c>
      <c r="B3926" t="s">
        <v>4123</v>
      </c>
      <c r="C3926" t="s">
        <v>7</v>
      </c>
      <c r="D3926" t="str">
        <f t="shared" ref="D3926:D3931" si="122">"563676"</f>
        <v>563676</v>
      </c>
      <c r="E3926" t="s">
        <v>4124</v>
      </c>
      <c r="F3926" t="s">
        <v>11</v>
      </c>
    </row>
    <row r="3927" spans="1:6" x14ac:dyDescent="0.25">
      <c r="A3927" t="str">
        <f>"43256431"</f>
        <v>43256431</v>
      </c>
      <c r="B3927" t="s">
        <v>4125</v>
      </c>
      <c r="C3927" t="s">
        <v>37</v>
      </c>
      <c r="D3927" t="str">
        <f t="shared" si="122"/>
        <v>563676</v>
      </c>
      <c r="E3927" t="s">
        <v>4124</v>
      </c>
      <c r="F3927" t="s">
        <v>38</v>
      </c>
    </row>
    <row r="3928" spans="1:6" x14ac:dyDescent="0.25">
      <c r="A3928" t="str">
        <f>"22849611"</f>
        <v>22849611</v>
      </c>
      <c r="B3928" t="s">
        <v>4126</v>
      </c>
      <c r="C3928" t="s">
        <v>7</v>
      </c>
      <c r="D3928" t="str">
        <f t="shared" si="122"/>
        <v>563676</v>
      </c>
      <c r="E3928" t="s">
        <v>4124</v>
      </c>
      <c r="F3928" t="s">
        <v>18</v>
      </c>
    </row>
    <row r="3929" spans="1:6" x14ac:dyDescent="0.25">
      <c r="A3929" t="str">
        <f>"27055477"</f>
        <v>27055477</v>
      </c>
      <c r="B3929" t="s">
        <v>4127</v>
      </c>
      <c r="C3929" t="s">
        <v>7</v>
      </c>
      <c r="D3929" t="str">
        <f t="shared" si="122"/>
        <v>563676</v>
      </c>
      <c r="E3929" t="s">
        <v>4124</v>
      </c>
      <c r="F3929" t="s">
        <v>424</v>
      </c>
    </row>
    <row r="3930" spans="1:6" x14ac:dyDescent="0.25">
      <c r="A3930" t="str">
        <f>"64668070"</f>
        <v>64668070</v>
      </c>
      <c r="B3930" t="s">
        <v>4128</v>
      </c>
      <c r="C3930" t="s">
        <v>15</v>
      </c>
      <c r="D3930" t="str">
        <f t="shared" si="122"/>
        <v>563676</v>
      </c>
      <c r="E3930" t="s">
        <v>4124</v>
      </c>
      <c r="F3930" t="s">
        <v>16</v>
      </c>
    </row>
    <row r="3931" spans="1:6" x14ac:dyDescent="0.25">
      <c r="A3931" t="str">
        <f>"64669602"</f>
        <v>64669602</v>
      </c>
      <c r="B3931" t="s">
        <v>4129</v>
      </c>
      <c r="C3931" t="s">
        <v>15</v>
      </c>
      <c r="D3931" t="str">
        <f t="shared" si="122"/>
        <v>563676</v>
      </c>
      <c r="E3931" t="s">
        <v>4124</v>
      </c>
      <c r="F3931" t="s">
        <v>9</v>
      </c>
    </row>
    <row r="3932" spans="1:6" x14ac:dyDescent="0.25">
      <c r="A3932" t="str">
        <f>"75057930"</f>
        <v>75057930</v>
      </c>
      <c r="B3932" t="s">
        <v>4130</v>
      </c>
      <c r="C3932" t="s">
        <v>15</v>
      </c>
      <c r="D3932" t="str">
        <f t="shared" ref="D3932:D3967" si="123">"563706"</f>
        <v>563706</v>
      </c>
      <c r="E3932" t="s">
        <v>4131</v>
      </c>
      <c r="F3932" t="s">
        <v>29</v>
      </c>
    </row>
    <row r="3933" spans="1:6" x14ac:dyDescent="0.25">
      <c r="A3933" t="str">
        <f>"22769633"</f>
        <v>22769633</v>
      </c>
      <c r="B3933" t="s">
        <v>4132</v>
      </c>
      <c r="C3933" t="s">
        <v>7</v>
      </c>
      <c r="D3933" t="str">
        <f t="shared" si="123"/>
        <v>563706</v>
      </c>
      <c r="E3933" t="s">
        <v>4131</v>
      </c>
      <c r="F3933" t="s">
        <v>29</v>
      </c>
    </row>
    <row r="3934" spans="1:6" x14ac:dyDescent="0.25">
      <c r="A3934" t="str">
        <f>"02133971"</f>
        <v>02133971</v>
      </c>
      <c r="B3934" t="s">
        <v>4133</v>
      </c>
      <c r="C3934" t="s">
        <v>7</v>
      </c>
      <c r="D3934" t="str">
        <f t="shared" si="123"/>
        <v>563706</v>
      </c>
      <c r="E3934" t="s">
        <v>4131</v>
      </c>
      <c r="F3934" t="s">
        <v>62</v>
      </c>
    </row>
    <row r="3935" spans="1:6" x14ac:dyDescent="0.25">
      <c r="A3935" t="str">
        <f>"00482706"</f>
        <v>00482706</v>
      </c>
      <c r="B3935" t="s">
        <v>4134</v>
      </c>
      <c r="C3935" t="s">
        <v>15</v>
      </c>
      <c r="D3935" t="str">
        <f t="shared" si="123"/>
        <v>563706</v>
      </c>
      <c r="E3935" t="s">
        <v>4131</v>
      </c>
      <c r="F3935" t="s">
        <v>11</v>
      </c>
    </row>
    <row r="3936" spans="1:6" x14ac:dyDescent="0.25">
      <c r="A3936" t="str">
        <f>"63154528"</f>
        <v>63154528</v>
      </c>
      <c r="B3936" t="s">
        <v>4135</v>
      </c>
      <c r="C3936" t="s">
        <v>15</v>
      </c>
      <c r="D3936" t="str">
        <f t="shared" si="123"/>
        <v>563706</v>
      </c>
      <c r="E3936" t="s">
        <v>4131</v>
      </c>
      <c r="F3936" t="s">
        <v>29</v>
      </c>
    </row>
    <row r="3937" spans="1:6" x14ac:dyDescent="0.25">
      <c r="A3937" t="str">
        <f>"01547739"</f>
        <v>01547739</v>
      </c>
      <c r="B3937" t="s">
        <v>4136</v>
      </c>
      <c r="C3937" t="s">
        <v>7</v>
      </c>
      <c r="D3937" t="str">
        <f t="shared" si="123"/>
        <v>563706</v>
      </c>
      <c r="E3937" t="s">
        <v>4131</v>
      </c>
      <c r="F3937" t="s">
        <v>11</v>
      </c>
    </row>
    <row r="3938" spans="1:6" x14ac:dyDescent="0.25">
      <c r="A3938" t="str">
        <f>"03649881"</f>
        <v>03649881</v>
      </c>
      <c r="B3938" t="s">
        <v>4137</v>
      </c>
      <c r="C3938" t="s">
        <v>7</v>
      </c>
      <c r="D3938" t="str">
        <f t="shared" si="123"/>
        <v>563706</v>
      </c>
      <c r="E3938" t="s">
        <v>4131</v>
      </c>
      <c r="F3938" t="s">
        <v>11</v>
      </c>
    </row>
    <row r="3939" spans="1:6" x14ac:dyDescent="0.25">
      <c r="A3939" t="str">
        <f>"70823626"</f>
        <v>70823626</v>
      </c>
      <c r="B3939" t="s">
        <v>4138</v>
      </c>
      <c r="C3939" t="s">
        <v>7</v>
      </c>
      <c r="D3939" t="str">
        <f t="shared" si="123"/>
        <v>563706</v>
      </c>
      <c r="E3939" t="s">
        <v>4131</v>
      </c>
      <c r="F3939" t="s">
        <v>11</v>
      </c>
    </row>
    <row r="3940" spans="1:6" x14ac:dyDescent="0.25">
      <c r="A3940" t="str">
        <f>"21850062"</f>
        <v>21850062</v>
      </c>
      <c r="B3940" t="s">
        <v>4139</v>
      </c>
      <c r="C3940" t="s">
        <v>7</v>
      </c>
      <c r="D3940" t="str">
        <f t="shared" si="123"/>
        <v>563706</v>
      </c>
      <c r="E3940" t="s">
        <v>4131</v>
      </c>
      <c r="F3940" t="s">
        <v>58</v>
      </c>
    </row>
    <row r="3941" spans="1:6" x14ac:dyDescent="0.25">
      <c r="A3941" t="str">
        <f>"40229815"</f>
        <v>40229815</v>
      </c>
      <c r="B3941" t="s">
        <v>4140</v>
      </c>
      <c r="C3941" t="s">
        <v>7</v>
      </c>
      <c r="D3941" t="str">
        <f t="shared" si="123"/>
        <v>563706</v>
      </c>
      <c r="E3941" t="s">
        <v>4131</v>
      </c>
      <c r="F3941" t="s">
        <v>11</v>
      </c>
    </row>
    <row r="3942" spans="1:6" x14ac:dyDescent="0.25">
      <c r="A3942" t="str">
        <f>"07169337"</f>
        <v>07169337</v>
      </c>
      <c r="B3942" t="s">
        <v>4141</v>
      </c>
      <c r="C3942" t="s">
        <v>7</v>
      </c>
      <c r="D3942" t="str">
        <f t="shared" si="123"/>
        <v>563706</v>
      </c>
      <c r="E3942" t="s">
        <v>4131</v>
      </c>
      <c r="F3942" t="s">
        <v>2579</v>
      </c>
    </row>
    <row r="3943" spans="1:6" x14ac:dyDescent="0.25">
      <c r="A3943" t="str">
        <f>"22830324"</f>
        <v>22830324</v>
      </c>
      <c r="B3943" t="s">
        <v>4142</v>
      </c>
      <c r="C3943" t="s">
        <v>7</v>
      </c>
      <c r="D3943" t="str">
        <f t="shared" si="123"/>
        <v>563706</v>
      </c>
      <c r="E3943" t="s">
        <v>4131</v>
      </c>
      <c r="F3943" t="s">
        <v>18</v>
      </c>
    </row>
    <row r="3944" spans="1:6" x14ac:dyDescent="0.25">
      <c r="A3944" t="str">
        <f>"26642433"</f>
        <v>26642433</v>
      </c>
      <c r="B3944" t="s">
        <v>4143</v>
      </c>
      <c r="C3944" t="s">
        <v>7</v>
      </c>
      <c r="D3944" t="str">
        <f t="shared" si="123"/>
        <v>563706</v>
      </c>
      <c r="E3944" t="s">
        <v>4131</v>
      </c>
      <c r="F3944" t="s">
        <v>11</v>
      </c>
    </row>
    <row r="3945" spans="1:6" x14ac:dyDescent="0.25">
      <c r="A3945" t="str">
        <f>"22817565"</f>
        <v>22817565</v>
      </c>
      <c r="B3945" t="s">
        <v>4144</v>
      </c>
      <c r="C3945" t="s">
        <v>7</v>
      </c>
      <c r="D3945" t="str">
        <f t="shared" si="123"/>
        <v>563706</v>
      </c>
      <c r="E3945" t="s">
        <v>4131</v>
      </c>
      <c r="F3945" t="s">
        <v>11</v>
      </c>
    </row>
    <row r="3946" spans="1:6" x14ac:dyDescent="0.25">
      <c r="A3946" t="str">
        <f>"43257445"</f>
        <v>43257445</v>
      </c>
      <c r="B3946" t="s">
        <v>4145</v>
      </c>
      <c r="C3946" t="s">
        <v>7</v>
      </c>
      <c r="D3946" t="str">
        <f t="shared" si="123"/>
        <v>563706</v>
      </c>
      <c r="E3946" t="s">
        <v>4131</v>
      </c>
      <c r="F3946" t="s">
        <v>38</v>
      </c>
    </row>
    <row r="3947" spans="1:6" x14ac:dyDescent="0.25">
      <c r="A3947" t="str">
        <f>"05499712"</f>
        <v>05499712</v>
      </c>
      <c r="B3947" t="s">
        <v>4146</v>
      </c>
      <c r="C3947" t="s">
        <v>325</v>
      </c>
      <c r="D3947" t="str">
        <f t="shared" si="123"/>
        <v>563706</v>
      </c>
      <c r="E3947" t="s">
        <v>4131</v>
      </c>
      <c r="F3947" t="s">
        <v>11</v>
      </c>
    </row>
    <row r="3948" spans="1:6" x14ac:dyDescent="0.25">
      <c r="A3948" t="str">
        <f>"21091811"</f>
        <v>21091811</v>
      </c>
      <c r="B3948" t="s">
        <v>4147</v>
      </c>
      <c r="C3948" t="s">
        <v>325</v>
      </c>
      <c r="D3948" t="str">
        <f t="shared" si="123"/>
        <v>563706</v>
      </c>
      <c r="E3948" t="s">
        <v>4131</v>
      </c>
      <c r="F3948" t="s">
        <v>11</v>
      </c>
    </row>
    <row r="3949" spans="1:6" x14ac:dyDescent="0.25">
      <c r="A3949" t="str">
        <f>"27053377"</f>
        <v>27053377</v>
      </c>
      <c r="B3949" t="s">
        <v>4148</v>
      </c>
      <c r="C3949" t="s">
        <v>7</v>
      </c>
      <c r="D3949" t="str">
        <f t="shared" si="123"/>
        <v>563706</v>
      </c>
      <c r="E3949" t="s">
        <v>4131</v>
      </c>
      <c r="F3949" t="s">
        <v>11</v>
      </c>
    </row>
    <row r="3950" spans="1:6" x14ac:dyDescent="0.25">
      <c r="A3950" t="str">
        <f>"26580896"</f>
        <v>26580896</v>
      </c>
      <c r="B3950" t="s">
        <v>4149</v>
      </c>
      <c r="C3950" t="s">
        <v>7</v>
      </c>
      <c r="D3950" t="str">
        <f t="shared" si="123"/>
        <v>563706</v>
      </c>
      <c r="E3950" t="s">
        <v>4131</v>
      </c>
      <c r="F3950" t="s">
        <v>18</v>
      </c>
    </row>
    <row r="3951" spans="1:6" x14ac:dyDescent="0.25">
      <c r="A3951" t="str">
        <f>"22831916"</f>
        <v>22831916</v>
      </c>
      <c r="B3951" t="s">
        <v>4150</v>
      </c>
      <c r="C3951" t="s">
        <v>7</v>
      </c>
      <c r="D3951" t="str">
        <f t="shared" si="123"/>
        <v>563706</v>
      </c>
      <c r="E3951" t="s">
        <v>4131</v>
      </c>
      <c r="F3951" t="s">
        <v>11</v>
      </c>
    </row>
    <row r="3952" spans="1:6" x14ac:dyDescent="0.25">
      <c r="A3952" t="str">
        <f>"05197279"</f>
        <v>05197279</v>
      </c>
      <c r="B3952" t="s">
        <v>4151</v>
      </c>
      <c r="C3952" t="s">
        <v>15</v>
      </c>
      <c r="D3952" t="str">
        <f t="shared" si="123"/>
        <v>563706</v>
      </c>
      <c r="E3952" t="s">
        <v>4131</v>
      </c>
      <c r="F3952" t="s">
        <v>11</v>
      </c>
    </row>
    <row r="3953" spans="1:6" x14ac:dyDescent="0.25">
      <c r="A3953" t="str">
        <f>"03901122"</f>
        <v>03901122</v>
      </c>
      <c r="B3953" t="s">
        <v>4152</v>
      </c>
      <c r="C3953" t="s">
        <v>7</v>
      </c>
      <c r="D3953" t="str">
        <f t="shared" si="123"/>
        <v>563706</v>
      </c>
      <c r="E3953" t="s">
        <v>4131</v>
      </c>
      <c r="F3953" t="s">
        <v>11</v>
      </c>
    </row>
    <row r="3954" spans="1:6" x14ac:dyDescent="0.25">
      <c r="A3954" t="str">
        <f>"71171436"</f>
        <v>71171436</v>
      </c>
      <c r="B3954" t="s">
        <v>4153</v>
      </c>
      <c r="C3954" t="s">
        <v>15</v>
      </c>
      <c r="D3954" t="str">
        <f t="shared" si="123"/>
        <v>563706</v>
      </c>
      <c r="E3954" t="s">
        <v>4131</v>
      </c>
      <c r="F3954" t="s">
        <v>16</v>
      </c>
    </row>
    <row r="3955" spans="1:6" x14ac:dyDescent="0.25">
      <c r="A3955" t="str">
        <f>"64668096"</f>
        <v>64668096</v>
      </c>
      <c r="B3955" t="s">
        <v>4154</v>
      </c>
      <c r="C3955" t="s">
        <v>15</v>
      </c>
      <c r="D3955" t="str">
        <f t="shared" si="123"/>
        <v>563706</v>
      </c>
      <c r="E3955" t="s">
        <v>4131</v>
      </c>
      <c r="F3955" t="s">
        <v>16</v>
      </c>
    </row>
    <row r="3956" spans="1:6" x14ac:dyDescent="0.25">
      <c r="A3956" t="str">
        <f>"64668118"</f>
        <v>64668118</v>
      </c>
      <c r="B3956" t="s">
        <v>4155</v>
      </c>
      <c r="C3956" t="s">
        <v>15</v>
      </c>
      <c r="D3956" t="str">
        <f t="shared" si="123"/>
        <v>563706</v>
      </c>
      <c r="E3956" t="s">
        <v>4131</v>
      </c>
      <c r="F3956" t="s">
        <v>16</v>
      </c>
    </row>
    <row r="3957" spans="1:6" x14ac:dyDescent="0.25">
      <c r="A3957" t="str">
        <f>"64668240"</f>
        <v>64668240</v>
      </c>
      <c r="B3957" t="s">
        <v>4156</v>
      </c>
      <c r="C3957" t="s">
        <v>15</v>
      </c>
      <c r="D3957" t="str">
        <f t="shared" si="123"/>
        <v>563706</v>
      </c>
      <c r="E3957" t="s">
        <v>4131</v>
      </c>
      <c r="F3957" t="s">
        <v>16</v>
      </c>
    </row>
    <row r="3958" spans="1:6" x14ac:dyDescent="0.25">
      <c r="A3958" t="str">
        <f>"64669149"</f>
        <v>64669149</v>
      </c>
      <c r="B3958" t="s">
        <v>4157</v>
      </c>
      <c r="C3958" t="s">
        <v>7</v>
      </c>
      <c r="D3958" t="str">
        <f t="shared" si="123"/>
        <v>563706</v>
      </c>
      <c r="E3958" t="s">
        <v>4131</v>
      </c>
      <c r="F3958" t="s">
        <v>9</v>
      </c>
    </row>
    <row r="3959" spans="1:6" x14ac:dyDescent="0.25">
      <c r="A3959" t="str">
        <f>"64668908"</f>
        <v>64668908</v>
      </c>
      <c r="B3959" t="s">
        <v>4158</v>
      </c>
      <c r="C3959" t="s">
        <v>15</v>
      </c>
      <c r="D3959" t="str">
        <f t="shared" si="123"/>
        <v>563706</v>
      </c>
      <c r="E3959" t="s">
        <v>4131</v>
      </c>
      <c r="F3959" t="s">
        <v>65</v>
      </c>
    </row>
    <row r="3960" spans="1:6" x14ac:dyDescent="0.25">
      <c r="A3960" t="str">
        <f>"69292078"</f>
        <v>69292078</v>
      </c>
      <c r="B3960" t="s">
        <v>4159</v>
      </c>
      <c r="C3960" t="s">
        <v>15</v>
      </c>
      <c r="D3960" t="str">
        <f t="shared" si="123"/>
        <v>563706</v>
      </c>
      <c r="E3960" t="s">
        <v>4131</v>
      </c>
      <c r="F3960" t="s">
        <v>9</v>
      </c>
    </row>
    <row r="3961" spans="1:6" x14ac:dyDescent="0.25">
      <c r="A3961" t="str">
        <f>"64669840"</f>
        <v>64669840</v>
      </c>
      <c r="B3961" t="s">
        <v>4160</v>
      </c>
      <c r="C3961" t="s">
        <v>15</v>
      </c>
      <c r="D3961" t="str">
        <f t="shared" si="123"/>
        <v>563706</v>
      </c>
      <c r="E3961" t="s">
        <v>4131</v>
      </c>
      <c r="F3961" t="s">
        <v>9</v>
      </c>
    </row>
    <row r="3962" spans="1:6" x14ac:dyDescent="0.25">
      <c r="A3962" t="str">
        <f>"16388968"</f>
        <v>16388968</v>
      </c>
      <c r="B3962" t="s">
        <v>4161</v>
      </c>
      <c r="C3962" t="s">
        <v>7</v>
      </c>
      <c r="D3962" t="str">
        <f t="shared" si="123"/>
        <v>563706</v>
      </c>
      <c r="E3962" t="s">
        <v>4131</v>
      </c>
      <c r="F3962" t="s">
        <v>9</v>
      </c>
    </row>
    <row r="3963" spans="1:6" x14ac:dyDescent="0.25">
      <c r="A3963" t="str">
        <f>"64669041"</f>
        <v>64669041</v>
      </c>
      <c r="B3963" t="s">
        <v>4162</v>
      </c>
      <c r="C3963" t="s">
        <v>7</v>
      </c>
      <c r="D3963" t="str">
        <f t="shared" si="123"/>
        <v>563706</v>
      </c>
      <c r="E3963" t="s">
        <v>4131</v>
      </c>
      <c r="F3963" t="s">
        <v>9</v>
      </c>
    </row>
    <row r="3964" spans="1:6" x14ac:dyDescent="0.25">
      <c r="A3964" t="str">
        <f>"26993813"</f>
        <v>26993813</v>
      </c>
      <c r="B3964" t="s">
        <v>4163</v>
      </c>
      <c r="C3964" t="s">
        <v>7</v>
      </c>
      <c r="D3964" t="str">
        <f t="shared" si="123"/>
        <v>563706</v>
      </c>
      <c r="E3964" t="s">
        <v>4131</v>
      </c>
      <c r="F3964" t="s">
        <v>11</v>
      </c>
    </row>
    <row r="3965" spans="1:6" x14ac:dyDescent="0.25">
      <c r="A3965" t="str">
        <f>"08083436"</f>
        <v>08083436</v>
      </c>
      <c r="B3965" t="s">
        <v>4164</v>
      </c>
      <c r="C3965" t="s">
        <v>7</v>
      </c>
      <c r="D3965" t="str">
        <f t="shared" si="123"/>
        <v>563706</v>
      </c>
      <c r="E3965" t="s">
        <v>4131</v>
      </c>
      <c r="F3965" t="s">
        <v>35</v>
      </c>
    </row>
    <row r="3966" spans="1:6" x14ac:dyDescent="0.25">
      <c r="A3966" t="str">
        <f>"70834377"</f>
        <v>70834377</v>
      </c>
      <c r="B3966" t="s">
        <v>4165</v>
      </c>
      <c r="C3966" t="s">
        <v>7</v>
      </c>
      <c r="D3966" t="str">
        <f t="shared" si="123"/>
        <v>563706</v>
      </c>
      <c r="E3966" t="s">
        <v>4131</v>
      </c>
      <c r="F3966" t="s">
        <v>11</v>
      </c>
    </row>
    <row r="3967" spans="1:6" x14ac:dyDescent="0.25">
      <c r="A3967" t="str">
        <f>"26641852"</f>
        <v>26641852</v>
      </c>
      <c r="B3967" t="s">
        <v>4166</v>
      </c>
      <c r="C3967" t="s">
        <v>7</v>
      </c>
      <c r="D3967" t="str">
        <f t="shared" si="123"/>
        <v>563706</v>
      </c>
      <c r="E3967" t="s">
        <v>4131</v>
      </c>
      <c r="F3967" t="s">
        <v>11</v>
      </c>
    </row>
    <row r="3968" spans="1:6" x14ac:dyDescent="0.25">
      <c r="A3968" t="str">
        <f>"22486054"</f>
        <v>22486054</v>
      </c>
      <c r="B3968" t="s">
        <v>4167</v>
      </c>
      <c r="C3968" t="s">
        <v>7</v>
      </c>
      <c r="D3968" t="str">
        <f t="shared" ref="D3968:D3975" si="124">"573418"</f>
        <v>573418</v>
      </c>
      <c r="E3968" t="s">
        <v>4168</v>
      </c>
      <c r="F3968" t="s">
        <v>11</v>
      </c>
    </row>
    <row r="3969" spans="1:6" x14ac:dyDescent="0.25">
      <c r="A3969" t="str">
        <f>"72020539"</f>
        <v>72020539</v>
      </c>
      <c r="B3969" t="s">
        <v>4169</v>
      </c>
      <c r="C3969" t="s">
        <v>15</v>
      </c>
      <c r="D3969" t="str">
        <f t="shared" si="124"/>
        <v>573418</v>
      </c>
      <c r="E3969" t="s">
        <v>4168</v>
      </c>
      <c r="F3969" t="s">
        <v>29</v>
      </c>
    </row>
    <row r="3970" spans="1:6" x14ac:dyDescent="0.25">
      <c r="A3970" t="str">
        <f>"45597723"</f>
        <v>45597723</v>
      </c>
      <c r="B3970" t="s">
        <v>4170</v>
      </c>
      <c r="C3970" t="s">
        <v>7</v>
      </c>
      <c r="D3970" t="str">
        <f t="shared" si="124"/>
        <v>573418</v>
      </c>
      <c r="E3970" t="s">
        <v>4168</v>
      </c>
      <c r="F3970" t="s">
        <v>38</v>
      </c>
    </row>
    <row r="3971" spans="1:6" x14ac:dyDescent="0.25">
      <c r="A3971" t="str">
        <f>"62048082"</f>
        <v>62048082</v>
      </c>
      <c r="B3971" t="s">
        <v>4171</v>
      </c>
      <c r="C3971" t="s">
        <v>20</v>
      </c>
      <c r="D3971" t="str">
        <f t="shared" si="124"/>
        <v>573418</v>
      </c>
      <c r="E3971" t="s">
        <v>4168</v>
      </c>
      <c r="F3971" t="s">
        <v>21</v>
      </c>
    </row>
    <row r="3972" spans="1:6" x14ac:dyDescent="0.25">
      <c r="A3972" t="str">
        <f>"15045382"</f>
        <v>15045382</v>
      </c>
      <c r="B3972" t="s">
        <v>4172</v>
      </c>
      <c r="C3972" t="s">
        <v>15</v>
      </c>
      <c r="D3972" t="str">
        <f t="shared" si="124"/>
        <v>573418</v>
      </c>
      <c r="E3972" t="s">
        <v>4168</v>
      </c>
      <c r="F3972" t="s">
        <v>16</v>
      </c>
    </row>
    <row r="3973" spans="1:6" x14ac:dyDescent="0.25">
      <c r="A3973" t="str">
        <f>"04256221"</f>
        <v>04256221</v>
      </c>
      <c r="B3973" t="s">
        <v>4173</v>
      </c>
      <c r="C3973" t="s">
        <v>7</v>
      </c>
      <c r="D3973" t="str">
        <f t="shared" si="124"/>
        <v>573418</v>
      </c>
      <c r="E3973" t="s">
        <v>4168</v>
      </c>
      <c r="F3973" t="s">
        <v>11</v>
      </c>
    </row>
    <row r="3974" spans="1:6" x14ac:dyDescent="0.25">
      <c r="A3974" t="str">
        <f>"62012649"</f>
        <v>62012649</v>
      </c>
      <c r="B3974" t="s">
        <v>4174</v>
      </c>
      <c r="C3974" t="s">
        <v>15</v>
      </c>
      <c r="D3974" t="str">
        <f t="shared" si="124"/>
        <v>573418</v>
      </c>
      <c r="E3974" t="s">
        <v>4168</v>
      </c>
      <c r="F3974" t="s">
        <v>9</v>
      </c>
    </row>
    <row r="3975" spans="1:6" x14ac:dyDescent="0.25">
      <c r="A3975" t="str">
        <f>"49294822"</f>
        <v>49294822</v>
      </c>
      <c r="B3975" t="s">
        <v>4175</v>
      </c>
      <c r="C3975" t="s">
        <v>7</v>
      </c>
      <c r="D3975" t="str">
        <f t="shared" si="124"/>
        <v>573418</v>
      </c>
      <c r="E3975" t="s">
        <v>4168</v>
      </c>
      <c r="F3975" t="s">
        <v>65</v>
      </c>
    </row>
    <row r="3976" spans="1:6" x14ac:dyDescent="0.25">
      <c r="A3976" t="str">
        <f>"60252189"</f>
        <v>60252189</v>
      </c>
      <c r="B3976" t="s">
        <v>4176</v>
      </c>
      <c r="C3976" t="s">
        <v>15</v>
      </c>
      <c r="D3976" t="str">
        <f>"563714"</f>
        <v>563714</v>
      </c>
      <c r="E3976" t="s">
        <v>4177</v>
      </c>
      <c r="F3976" t="s">
        <v>16</v>
      </c>
    </row>
    <row r="3977" spans="1:6" x14ac:dyDescent="0.25">
      <c r="A3977" t="str">
        <f>"22898824"</f>
        <v>22898824</v>
      </c>
      <c r="B3977" t="s">
        <v>4178</v>
      </c>
      <c r="C3977" t="s">
        <v>7</v>
      </c>
      <c r="D3977" t="str">
        <f>"563714"</f>
        <v>563714</v>
      </c>
      <c r="E3977" t="s">
        <v>4177</v>
      </c>
      <c r="F3977" t="s">
        <v>139</v>
      </c>
    </row>
    <row r="3978" spans="1:6" x14ac:dyDescent="0.25">
      <c r="A3978" t="str">
        <f>"28553683"</f>
        <v>28553683</v>
      </c>
      <c r="B3978" t="s">
        <v>4179</v>
      </c>
      <c r="C3978" t="s">
        <v>7</v>
      </c>
      <c r="D3978" t="str">
        <f>"563714"</f>
        <v>563714</v>
      </c>
      <c r="E3978" t="s">
        <v>4177</v>
      </c>
      <c r="F3978" t="s">
        <v>9</v>
      </c>
    </row>
    <row r="3979" spans="1:6" x14ac:dyDescent="0.25">
      <c r="A3979" t="str">
        <f>"60252707"</f>
        <v>60252707</v>
      </c>
      <c r="B3979" t="s">
        <v>4180</v>
      </c>
      <c r="C3979" t="s">
        <v>7</v>
      </c>
      <c r="D3979" t="str">
        <f>"563714"</f>
        <v>563714</v>
      </c>
      <c r="E3979" t="s">
        <v>4177</v>
      </c>
      <c r="F3979" t="s">
        <v>9</v>
      </c>
    </row>
    <row r="3980" spans="1:6" x14ac:dyDescent="0.25">
      <c r="A3980" t="str">
        <f>"26580594"</f>
        <v>26580594</v>
      </c>
      <c r="B3980" t="s">
        <v>4181</v>
      </c>
      <c r="C3980" t="s">
        <v>7</v>
      </c>
      <c r="D3980" t="str">
        <f t="shared" ref="D3980:D3987" si="125">"561827"</f>
        <v>561827</v>
      </c>
      <c r="E3980" t="s">
        <v>4182</v>
      </c>
      <c r="F3980" t="s">
        <v>11</v>
      </c>
    </row>
    <row r="3981" spans="1:6" x14ac:dyDescent="0.25">
      <c r="A3981" t="str">
        <f>"08598703"</f>
        <v>08598703</v>
      </c>
      <c r="B3981" t="s">
        <v>4183</v>
      </c>
      <c r="C3981" t="s">
        <v>7</v>
      </c>
      <c r="D3981" t="str">
        <f t="shared" si="125"/>
        <v>561827</v>
      </c>
      <c r="E3981" t="s">
        <v>4182</v>
      </c>
      <c r="F3981" t="s">
        <v>13</v>
      </c>
    </row>
    <row r="3982" spans="1:6" x14ac:dyDescent="0.25">
      <c r="A3982" t="str">
        <f>"00526312"</f>
        <v>00526312</v>
      </c>
      <c r="B3982" t="s">
        <v>4184</v>
      </c>
      <c r="C3982" t="s">
        <v>7</v>
      </c>
      <c r="D3982" t="str">
        <f t="shared" si="125"/>
        <v>561827</v>
      </c>
      <c r="E3982" t="s">
        <v>4182</v>
      </c>
      <c r="F3982" t="s">
        <v>9</v>
      </c>
    </row>
    <row r="3983" spans="1:6" x14ac:dyDescent="0.25">
      <c r="A3983" t="str">
        <f>"62237918"</f>
        <v>62237918</v>
      </c>
      <c r="B3983" t="s">
        <v>4185</v>
      </c>
      <c r="C3983" t="s">
        <v>43</v>
      </c>
      <c r="D3983" t="str">
        <f t="shared" si="125"/>
        <v>561827</v>
      </c>
      <c r="E3983" t="s">
        <v>4182</v>
      </c>
      <c r="F3983" t="s">
        <v>44</v>
      </c>
    </row>
    <row r="3984" spans="1:6" x14ac:dyDescent="0.25">
      <c r="A3984" t="str">
        <f>"21055068"</f>
        <v>21055068</v>
      </c>
      <c r="B3984" t="s">
        <v>4186</v>
      </c>
      <c r="C3984" t="s">
        <v>15</v>
      </c>
      <c r="D3984" t="str">
        <f t="shared" si="125"/>
        <v>561827</v>
      </c>
      <c r="E3984" t="s">
        <v>4182</v>
      </c>
      <c r="F3984" t="s">
        <v>16</v>
      </c>
    </row>
    <row r="3985" spans="1:6" x14ac:dyDescent="0.25">
      <c r="A3985" t="str">
        <f>"26676729"</f>
        <v>26676729</v>
      </c>
      <c r="B3985" t="s">
        <v>4187</v>
      </c>
      <c r="C3985" t="s">
        <v>7</v>
      </c>
      <c r="D3985" t="str">
        <f t="shared" si="125"/>
        <v>561827</v>
      </c>
      <c r="E3985" t="s">
        <v>4182</v>
      </c>
      <c r="F3985" t="s">
        <v>9</v>
      </c>
    </row>
    <row r="3986" spans="1:6" x14ac:dyDescent="0.25">
      <c r="A3986" t="str">
        <f>"08013438"</f>
        <v>08013438</v>
      </c>
      <c r="B3986" t="s">
        <v>4188</v>
      </c>
      <c r="C3986" t="s">
        <v>7</v>
      </c>
      <c r="D3986" t="str">
        <f t="shared" si="125"/>
        <v>561827</v>
      </c>
      <c r="E3986" t="s">
        <v>4182</v>
      </c>
      <c r="F3986" t="s">
        <v>35</v>
      </c>
    </row>
    <row r="3987" spans="1:6" x14ac:dyDescent="0.25">
      <c r="A3987" t="str">
        <f>"26590140"</f>
        <v>26590140</v>
      </c>
      <c r="B3987" t="s">
        <v>4189</v>
      </c>
      <c r="C3987" t="s">
        <v>7</v>
      </c>
      <c r="D3987" t="str">
        <f t="shared" si="125"/>
        <v>561827</v>
      </c>
      <c r="E3987" t="s">
        <v>4182</v>
      </c>
      <c r="F3987" t="s">
        <v>11</v>
      </c>
    </row>
    <row r="3988" spans="1:6" x14ac:dyDescent="0.25">
      <c r="A3988" t="str">
        <f>"70925739"</f>
        <v>70925739</v>
      </c>
      <c r="B3988" t="s">
        <v>4190</v>
      </c>
      <c r="C3988" t="s">
        <v>15</v>
      </c>
      <c r="D3988" t="str">
        <f t="shared" ref="D3988:D4019" si="126">"561835"</f>
        <v>561835</v>
      </c>
      <c r="E3988" t="s">
        <v>4191</v>
      </c>
      <c r="F3988" t="s">
        <v>11</v>
      </c>
    </row>
    <row r="3989" spans="1:6" x14ac:dyDescent="0.25">
      <c r="A3989" t="str">
        <f>"22843809"</f>
        <v>22843809</v>
      </c>
      <c r="B3989" t="s">
        <v>4192</v>
      </c>
      <c r="C3989" t="s">
        <v>15</v>
      </c>
      <c r="D3989" t="str">
        <f t="shared" si="126"/>
        <v>561835</v>
      </c>
      <c r="E3989" t="s">
        <v>4191</v>
      </c>
      <c r="F3989" t="s">
        <v>29</v>
      </c>
    </row>
    <row r="3990" spans="1:6" x14ac:dyDescent="0.25">
      <c r="A3990" t="str">
        <f>"70880522"</f>
        <v>70880522</v>
      </c>
      <c r="B3990" t="s">
        <v>4193</v>
      </c>
      <c r="C3990" t="s">
        <v>7</v>
      </c>
      <c r="D3990" t="str">
        <f t="shared" si="126"/>
        <v>561835</v>
      </c>
      <c r="E3990" t="s">
        <v>4191</v>
      </c>
      <c r="F3990" t="s">
        <v>496</v>
      </c>
    </row>
    <row r="3991" spans="1:6" x14ac:dyDescent="0.25">
      <c r="A3991" t="str">
        <f>"27012182"</f>
        <v>27012182</v>
      </c>
      <c r="B3991" t="s">
        <v>4194</v>
      </c>
      <c r="C3991" t="s">
        <v>7</v>
      </c>
      <c r="D3991" t="str">
        <f t="shared" si="126"/>
        <v>561835</v>
      </c>
      <c r="E3991" t="s">
        <v>4191</v>
      </c>
      <c r="F3991" t="s">
        <v>9</v>
      </c>
    </row>
    <row r="3992" spans="1:6" x14ac:dyDescent="0.25">
      <c r="A3992" t="str">
        <f>"22816241"</f>
        <v>22816241</v>
      </c>
      <c r="B3992" t="s">
        <v>4195</v>
      </c>
      <c r="C3992" t="s">
        <v>7</v>
      </c>
      <c r="D3992" t="str">
        <f t="shared" si="126"/>
        <v>561835</v>
      </c>
      <c r="E3992" t="s">
        <v>4191</v>
      </c>
      <c r="F3992" t="s">
        <v>62</v>
      </c>
    </row>
    <row r="3993" spans="1:6" x14ac:dyDescent="0.25">
      <c r="A3993" t="str">
        <f>"09151320"</f>
        <v>09151320</v>
      </c>
      <c r="B3993" t="s">
        <v>4196</v>
      </c>
      <c r="C3993" t="s">
        <v>7</v>
      </c>
      <c r="D3993" t="str">
        <f t="shared" si="126"/>
        <v>561835</v>
      </c>
      <c r="E3993" t="s">
        <v>4191</v>
      </c>
      <c r="F3993" t="s">
        <v>11</v>
      </c>
    </row>
    <row r="3994" spans="1:6" x14ac:dyDescent="0.25">
      <c r="A3994" t="str">
        <f>"71216065"</f>
        <v>71216065</v>
      </c>
      <c r="B3994" t="s">
        <v>4197</v>
      </c>
      <c r="C3994" t="s">
        <v>15</v>
      </c>
      <c r="D3994" t="str">
        <f t="shared" si="126"/>
        <v>561835</v>
      </c>
      <c r="E3994" t="s">
        <v>4191</v>
      </c>
      <c r="F3994" t="s">
        <v>29</v>
      </c>
    </row>
    <row r="3995" spans="1:6" x14ac:dyDescent="0.25">
      <c r="A3995" t="str">
        <f>"00482714"</f>
        <v>00482714</v>
      </c>
      <c r="B3995" t="s">
        <v>4198</v>
      </c>
      <c r="C3995" t="s">
        <v>15</v>
      </c>
      <c r="D3995" t="str">
        <f t="shared" si="126"/>
        <v>561835</v>
      </c>
      <c r="E3995" t="s">
        <v>4191</v>
      </c>
      <c r="F3995" t="s">
        <v>29</v>
      </c>
    </row>
    <row r="3996" spans="1:6" x14ac:dyDescent="0.25">
      <c r="A3996" t="str">
        <f>"75091607"</f>
        <v>75091607</v>
      </c>
      <c r="B3996" t="s">
        <v>4199</v>
      </c>
      <c r="C3996" t="s">
        <v>15</v>
      </c>
      <c r="D3996" t="str">
        <f t="shared" si="126"/>
        <v>561835</v>
      </c>
      <c r="E3996" t="s">
        <v>4191</v>
      </c>
      <c r="F3996" t="s">
        <v>29</v>
      </c>
    </row>
    <row r="3997" spans="1:6" x14ac:dyDescent="0.25">
      <c r="A3997" t="str">
        <f>"03780074"</f>
        <v>03780074</v>
      </c>
      <c r="B3997" t="s">
        <v>4200</v>
      </c>
      <c r="C3997" t="s">
        <v>7</v>
      </c>
      <c r="D3997" t="str">
        <f t="shared" si="126"/>
        <v>561835</v>
      </c>
      <c r="E3997" t="s">
        <v>4191</v>
      </c>
      <c r="F3997" t="s">
        <v>183</v>
      </c>
    </row>
    <row r="3998" spans="1:6" x14ac:dyDescent="0.25">
      <c r="A3998" t="str">
        <f>"22813951"</f>
        <v>22813951</v>
      </c>
      <c r="B3998" t="s">
        <v>4201</v>
      </c>
      <c r="C3998" t="s">
        <v>7</v>
      </c>
      <c r="D3998" t="str">
        <f t="shared" si="126"/>
        <v>561835</v>
      </c>
      <c r="E3998" t="s">
        <v>4191</v>
      </c>
      <c r="F3998" t="s">
        <v>328</v>
      </c>
    </row>
    <row r="3999" spans="1:6" x14ac:dyDescent="0.25">
      <c r="A3999" t="str">
        <f>"26644177"</f>
        <v>26644177</v>
      </c>
      <c r="B3999" t="s">
        <v>4202</v>
      </c>
      <c r="C3999" t="s">
        <v>7</v>
      </c>
      <c r="D3999" t="str">
        <f t="shared" si="126"/>
        <v>561835</v>
      </c>
      <c r="E3999" t="s">
        <v>4191</v>
      </c>
      <c r="F3999" t="s">
        <v>11</v>
      </c>
    </row>
    <row r="4000" spans="1:6" x14ac:dyDescent="0.25">
      <c r="A4000" t="str">
        <f>"06454348"</f>
        <v>06454348</v>
      </c>
      <c r="B4000" t="s">
        <v>4203</v>
      </c>
      <c r="C4000" t="s">
        <v>7</v>
      </c>
      <c r="D4000" t="str">
        <f t="shared" si="126"/>
        <v>561835</v>
      </c>
      <c r="E4000" t="s">
        <v>4191</v>
      </c>
      <c r="F4000" t="s">
        <v>62</v>
      </c>
    </row>
    <row r="4001" spans="1:6" x14ac:dyDescent="0.25">
      <c r="A4001" t="str">
        <f>"02102048"</f>
        <v>02102048</v>
      </c>
      <c r="B4001" t="s">
        <v>4204</v>
      </c>
      <c r="C4001" t="s">
        <v>37</v>
      </c>
      <c r="D4001" t="str">
        <f t="shared" si="126"/>
        <v>561835</v>
      </c>
      <c r="E4001" t="s">
        <v>4191</v>
      </c>
      <c r="F4001" t="s">
        <v>38</v>
      </c>
    </row>
    <row r="4002" spans="1:6" x14ac:dyDescent="0.25">
      <c r="A4002" t="str">
        <f>"22662839"</f>
        <v>22662839</v>
      </c>
      <c r="B4002" t="s">
        <v>4205</v>
      </c>
      <c r="C4002" t="s">
        <v>7</v>
      </c>
      <c r="D4002" t="str">
        <f t="shared" si="126"/>
        <v>561835</v>
      </c>
      <c r="E4002" t="s">
        <v>4191</v>
      </c>
      <c r="F4002" t="s">
        <v>11</v>
      </c>
    </row>
    <row r="4003" spans="1:6" x14ac:dyDescent="0.25">
      <c r="A4003" t="str">
        <f>"05688191"</f>
        <v>05688191</v>
      </c>
      <c r="B4003" t="s">
        <v>4206</v>
      </c>
      <c r="C4003" t="s">
        <v>7</v>
      </c>
      <c r="D4003" t="str">
        <f t="shared" si="126"/>
        <v>561835</v>
      </c>
      <c r="E4003" t="s">
        <v>4191</v>
      </c>
      <c r="F4003" t="s">
        <v>65</v>
      </c>
    </row>
    <row r="4004" spans="1:6" x14ac:dyDescent="0.25">
      <c r="A4004" t="str">
        <f>"62237527"</f>
        <v>62237527</v>
      </c>
      <c r="B4004" t="s">
        <v>4207</v>
      </c>
      <c r="C4004" t="s">
        <v>15</v>
      </c>
      <c r="D4004" t="str">
        <f t="shared" si="126"/>
        <v>561835</v>
      </c>
      <c r="E4004" t="s">
        <v>4191</v>
      </c>
      <c r="F4004" t="s">
        <v>139</v>
      </c>
    </row>
    <row r="4005" spans="1:6" x14ac:dyDescent="0.25">
      <c r="A4005" t="str">
        <f>"26564271"</f>
        <v>26564271</v>
      </c>
      <c r="B4005" t="s">
        <v>4208</v>
      </c>
      <c r="C4005" t="s">
        <v>7</v>
      </c>
      <c r="D4005" t="str">
        <f t="shared" si="126"/>
        <v>561835</v>
      </c>
      <c r="E4005" t="s">
        <v>4191</v>
      </c>
      <c r="F4005" t="s">
        <v>11</v>
      </c>
    </row>
    <row r="4006" spans="1:6" x14ac:dyDescent="0.25">
      <c r="A4006" t="str">
        <f>"05916275"</f>
        <v>05916275</v>
      </c>
      <c r="B4006" t="s">
        <v>4209</v>
      </c>
      <c r="C4006" t="s">
        <v>7</v>
      </c>
      <c r="D4006" t="str">
        <f t="shared" si="126"/>
        <v>561835</v>
      </c>
      <c r="E4006" t="s">
        <v>4191</v>
      </c>
      <c r="F4006" t="s">
        <v>29</v>
      </c>
    </row>
    <row r="4007" spans="1:6" x14ac:dyDescent="0.25">
      <c r="A4007" t="str">
        <f>"02498642"</f>
        <v>02498642</v>
      </c>
      <c r="B4007" t="s">
        <v>4210</v>
      </c>
      <c r="C4007" t="s">
        <v>7</v>
      </c>
      <c r="D4007" t="str">
        <f t="shared" si="126"/>
        <v>561835</v>
      </c>
      <c r="E4007" t="s">
        <v>4191</v>
      </c>
      <c r="F4007" t="s">
        <v>29</v>
      </c>
    </row>
    <row r="4008" spans="1:6" x14ac:dyDescent="0.25">
      <c r="A4008" t="str">
        <f>"22889159"</f>
        <v>22889159</v>
      </c>
      <c r="B4008" t="s">
        <v>4211</v>
      </c>
      <c r="C4008" t="s">
        <v>7</v>
      </c>
      <c r="D4008" t="str">
        <f t="shared" si="126"/>
        <v>561835</v>
      </c>
      <c r="E4008" t="s">
        <v>4191</v>
      </c>
      <c r="F4008" t="s">
        <v>2839</v>
      </c>
    </row>
    <row r="4009" spans="1:6" x14ac:dyDescent="0.25">
      <c r="A4009" t="str">
        <f>"22671374"</f>
        <v>22671374</v>
      </c>
      <c r="B4009" t="s">
        <v>4212</v>
      </c>
      <c r="C4009" t="s">
        <v>7</v>
      </c>
      <c r="D4009" t="str">
        <f t="shared" si="126"/>
        <v>561835</v>
      </c>
      <c r="E4009" t="s">
        <v>4191</v>
      </c>
      <c r="F4009" t="s">
        <v>9</v>
      </c>
    </row>
    <row r="4010" spans="1:6" x14ac:dyDescent="0.25">
      <c r="A4010" t="str">
        <f>"72087561"</f>
        <v>72087561</v>
      </c>
      <c r="B4010" t="s">
        <v>4213</v>
      </c>
      <c r="C4010" t="s">
        <v>7</v>
      </c>
      <c r="D4010" t="str">
        <f t="shared" si="126"/>
        <v>561835</v>
      </c>
      <c r="E4010" t="s">
        <v>4191</v>
      </c>
      <c r="F4010" t="s">
        <v>1096</v>
      </c>
    </row>
    <row r="4011" spans="1:6" x14ac:dyDescent="0.25">
      <c r="A4011" t="str">
        <f>"05480345"</f>
        <v>05480345</v>
      </c>
      <c r="B4011" t="s">
        <v>4214</v>
      </c>
      <c r="C4011" t="s">
        <v>15</v>
      </c>
      <c r="D4011" t="str">
        <f t="shared" si="126"/>
        <v>561835</v>
      </c>
      <c r="E4011" t="s">
        <v>4191</v>
      </c>
      <c r="F4011" t="s">
        <v>29</v>
      </c>
    </row>
    <row r="4012" spans="1:6" x14ac:dyDescent="0.25">
      <c r="A4012" t="str">
        <f>"26619008"</f>
        <v>26619008</v>
      </c>
      <c r="B4012" t="s">
        <v>4215</v>
      </c>
      <c r="C4012" t="s">
        <v>7</v>
      </c>
      <c r="D4012" t="str">
        <f t="shared" si="126"/>
        <v>561835</v>
      </c>
      <c r="E4012" t="s">
        <v>4191</v>
      </c>
      <c r="F4012" t="s">
        <v>38</v>
      </c>
    </row>
    <row r="4013" spans="1:6" x14ac:dyDescent="0.25">
      <c r="A4013" t="str">
        <f>"01910582"</f>
        <v>01910582</v>
      </c>
      <c r="B4013" t="s">
        <v>4216</v>
      </c>
      <c r="C4013" t="s">
        <v>7</v>
      </c>
      <c r="D4013" t="str">
        <f t="shared" si="126"/>
        <v>561835</v>
      </c>
      <c r="E4013" t="s">
        <v>4191</v>
      </c>
      <c r="F4013" t="s">
        <v>38</v>
      </c>
    </row>
    <row r="4014" spans="1:6" x14ac:dyDescent="0.25">
      <c r="A4014" t="str">
        <f>"48282677"</f>
        <v>48282677</v>
      </c>
      <c r="B4014" t="s">
        <v>4217</v>
      </c>
      <c r="C4014" t="s">
        <v>7</v>
      </c>
      <c r="D4014" t="str">
        <f t="shared" si="126"/>
        <v>561835</v>
      </c>
      <c r="E4014" t="s">
        <v>4191</v>
      </c>
      <c r="F4014" t="s">
        <v>38</v>
      </c>
    </row>
    <row r="4015" spans="1:6" x14ac:dyDescent="0.25">
      <c r="A4015" t="str">
        <f>"73633224"</f>
        <v>73633224</v>
      </c>
      <c r="B4015" t="s">
        <v>4218</v>
      </c>
      <c r="C4015" t="s">
        <v>43</v>
      </c>
      <c r="D4015" t="str">
        <f t="shared" si="126"/>
        <v>561835</v>
      </c>
      <c r="E4015" t="s">
        <v>4191</v>
      </c>
      <c r="F4015" t="s">
        <v>44</v>
      </c>
    </row>
    <row r="4016" spans="1:6" x14ac:dyDescent="0.25">
      <c r="A4016" t="str">
        <f>"22887415"</f>
        <v>22887415</v>
      </c>
      <c r="B4016" t="s">
        <v>4219</v>
      </c>
      <c r="C4016" t="s">
        <v>7</v>
      </c>
      <c r="D4016" t="str">
        <f t="shared" si="126"/>
        <v>561835</v>
      </c>
      <c r="E4016" t="s">
        <v>4191</v>
      </c>
      <c r="F4016" t="s">
        <v>11</v>
      </c>
    </row>
    <row r="4017" spans="1:6" x14ac:dyDescent="0.25">
      <c r="A4017" t="str">
        <f>"28558685"</f>
        <v>28558685</v>
      </c>
      <c r="B4017" t="s">
        <v>4220</v>
      </c>
      <c r="C4017" t="s">
        <v>7</v>
      </c>
      <c r="D4017" t="str">
        <f t="shared" si="126"/>
        <v>561835</v>
      </c>
      <c r="E4017" t="s">
        <v>4191</v>
      </c>
      <c r="F4017" t="s">
        <v>424</v>
      </c>
    </row>
    <row r="4018" spans="1:6" x14ac:dyDescent="0.25">
      <c r="A4018" t="str">
        <f>"26573121"</f>
        <v>26573121</v>
      </c>
      <c r="B4018" t="s">
        <v>4221</v>
      </c>
      <c r="C4018" t="s">
        <v>7</v>
      </c>
      <c r="D4018" t="str">
        <f t="shared" si="126"/>
        <v>561835</v>
      </c>
      <c r="E4018" t="s">
        <v>4191</v>
      </c>
      <c r="F4018" t="s">
        <v>29</v>
      </c>
    </row>
    <row r="4019" spans="1:6" x14ac:dyDescent="0.25">
      <c r="A4019" t="str">
        <f>"68974744"</f>
        <v>68974744</v>
      </c>
      <c r="B4019" t="s">
        <v>4222</v>
      </c>
      <c r="C4019" t="s">
        <v>7</v>
      </c>
      <c r="D4019" t="str">
        <f t="shared" si="126"/>
        <v>561835</v>
      </c>
      <c r="E4019" t="s">
        <v>4191</v>
      </c>
      <c r="F4019" t="s">
        <v>11</v>
      </c>
    </row>
    <row r="4020" spans="1:6" x14ac:dyDescent="0.25">
      <c r="A4020" t="str">
        <f>"06581609"</f>
        <v>06581609</v>
      </c>
      <c r="B4020" t="s">
        <v>4223</v>
      </c>
      <c r="C4020" t="s">
        <v>15</v>
      </c>
      <c r="D4020" t="str">
        <f t="shared" ref="D4020:D4051" si="127">"561835"</f>
        <v>561835</v>
      </c>
      <c r="E4020" t="s">
        <v>4191</v>
      </c>
      <c r="F4020" t="s">
        <v>62</v>
      </c>
    </row>
    <row r="4021" spans="1:6" x14ac:dyDescent="0.25">
      <c r="A4021" t="str">
        <f>"27005119"</f>
        <v>27005119</v>
      </c>
      <c r="B4021" t="s">
        <v>4224</v>
      </c>
      <c r="C4021" t="s">
        <v>7</v>
      </c>
      <c r="D4021" t="str">
        <f t="shared" si="127"/>
        <v>561835</v>
      </c>
      <c r="E4021" t="s">
        <v>4191</v>
      </c>
      <c r="F4021" t="s">
        <v>9</v>
      </c>
    </row>
    <row r="4022" spans="1:6" x14ac:dyDescent="0.25">
      <c r="A4022" t="str">
        <f>"72068175"</f>
        <v>72068175</v>
      </c>
      <c r="B4022" t="s">
        <v>4225</v>
      </c>
      <c r="C4022" t="s">
        <v>20</v>
      </c>
      <c r="D4022" t="str">
        <f t="shared" si="127"/>
        <v>561835</v>
      </c>
      <c r="E4022" t="s">
        <v>4191</v>
      </c>
      <c r="F4022" t="s">
        <v>21</v>
      </c>
    </row>
    <row r="4023" spans="1:6" x14ac:dyDescent="0.25">
      <c r="A4023" t="str">
        <f>"69762309"</f>
        <v>69762309</v>
      </c>
      <c r="B4023" t="s">
        <v>4226</v>
      </c>
      <c r="C4023" t="s">
        <v>20</v>
      </c>
      <c r="D4023" t="str">
        <f t="shared" si="127"/>
        <v>561835</v>
      </c>
      <c r="E4023" t="s">
        <v>4191</v>
      </c>
      <c r="F4023" t="s">
        <v>21</v>
      </c>
    </row>
    <row r="4024" spans="1:6" x14ac:dyDescent="0.25">
      <c r="A4024" t="str">
        <f>"22902759"</f>
        <v>22902759</v>
      </c>
      <c r="B4024" t="s">
        <v>4227</v>
      </c>
      <c r="C4024" t="s">
        <v>15</v>
      </c>
      <c r="D4024" t="str">
        <f t="shared" si="127"/>
        <v>561835</v>
      </c>
      <c r="E4024" t="s">
        <v>4191</v>
      </c>
      <c r="F4024" t="s">
        <v>18</v>
      </c>
    </row>
    <row r="4025" spans="1:6" x14ac:dyDescent="0.25">
      <c r="A4025" t="str">
        <f>"62237713"</f>
        <v>62237713</v>
      </c>
      <c r="B4025" t="s">
        <v>4228</v>
      </c>
      <c r="C4025" t="s">
        <v>43</v>
      </c>
      <c r="D4025" t="str">
        <f t="shared" si="127"/>
        <v>561835</v>
      </c>
      <c r="E4025" t="s">
        <v>4191</v>
      </c>
      <c r="F4025" t="s">
        <v>44</v>
      </c>
    </row>
    <row r="4026" spans="1:6" x14ac:dyDescent="0.25">
      <c r="A4026" t="str">
        <f>"63778491"</f>
        <v>63778491</v>
      </c>
      <c r="B4026" t="s">
        <v>4229</v>
      </c>
      <c r="C4026" t="s">
        <v>43</v>
      </c>
      <c r="D4026" t="str">
        <f t="shared" si="127"/>
        <v>561835</v>
      </c>
      <c r="E4026" t="s">
        <v>4191</v>
      </c>
      <c r="F4026" t="s">
        <v>44</v>
      </c>
    </row>
    <row r="4027" spans="1:6" x14ac:dyDescent="0.25">
      <c r="A4027" t="str">
        <f>"62237730"</f>
        <v>62237730</v>
      </c>
      <c r="B4027" t="s">
        <v>4230</v>
      </c>
      <c r="C4027" t="s">
        <v>43</v>
      </c>
      <c r="D4027" t="str">
        <f t="shared" si="127"/>
        <v>561835</v>
      </c>
      <c r="E4027" t="s">
        <v>4191</v>
      </c>
      <c r="F4027" t="s">
        <v>44</v>
      </c>
    </row>
    <row r="4028" spans="1:6" x14ac:dyDescent="0.25">
      <c r="A4028" t="str">
        <f>"62237721"</f>
        <v>62237721</v>
      </c>
      <c r="B4028" t="s">
        <v>4231</v>
      </c>
      <c r="C4028" t="s">
        <v>43</v>
      </c>
      <c r="D4028" t="str">
        <f t="shared" si="127"/>
        <v>561835</v>
      </c>
      <c r="E4028" t="s">
        <v>4191</v>
      </c>
      <c r="F4028" t="s">
        <v>44</v>
      </c>
    </row>
    <row r="4029" spans="1:6" x14ac:dyDescent="0.25">
      <c r="A4029" t="str">
        <f>"49864041"</f>
        <v>49864041</v>
      </c>
      <c r="B4029" t="s">
        <v>4232</v>
      </c>
      <c r="C4029" t="s">
        <v>43</v>
      </c>
      <c r="D4029" t="str">
        <f t="shared" si="127"/>
        <v>561835</v>
      </c>
      <c r="E4029" t="s">
        <v>4191</v>
      </c>
      <c r="F4029" t="s">
        <v>44</v>
      </c>
    </row>
    <row r="4030" spans="1:6" x14ac:dyDescent="0.25">
      <c r="A4030" t="str">
        <f>"62237705"</f>
        <v>62237705</v>
      </c>
      <c r="B4030" t="s">
        <v>4233</v>
      </c>
      <c r="C4030" t="s">
        <v>43</v>
      </c>
      <c r="D4030" t="str">
        <f t="shared" si="127"/>
        <v>561835</v>
      </c>
      <c r="E4030" t="s">
        <v>4191</v>
      </c>
      <c r="F4030" t="s">
        <v>44</v>
      </c>
    </row>
    <row r="4031" spans="1:6" x14ac:dyDescent="0.25">
      <c r="A4031" t="str">
        <f>"62237748"</f>
        <v>62237748</v>
      </c>
      <c r="B4031" t="s">
        <v>4234</v>
      </c>
      <c r="C4031" t="s">
        <v>43</v>
      </c>
      <c r="D4031" t="str">
        <f t="shared" si="127"/>
        <v>561835</v>
      </c>
      <c r="E4031" t="s">
        <v>4191</v>
      </c>
      <c r="F4031" t="s">
        <v>44</v>
      </c>
    </row>
    <row r="4032" spans="1:6" x14ac:dyDescent="0.25">
      <c r="A4032" t="str">
        <f>"26639319"</f>
        <v>26639319</v>
      </c>
      <c r="B4032" t="s">
        <v>4235</v>
      </c>
      <c r="C4032" t="s">
        <v>7</v>
      </c>
      <c r="D4032" t="str">
        <f t="shared" si="127"/>
        <v>561835</v>
      </c>
      <c r="E4032" t="s">
        <v>4191</v>
      </c>
      <c r="F4032" t="s">
        <v>11</v>
      </c>
    </row>
    <row r="4033" spans="1:6" x14ac:dyDescent="0.25">
      <c r="A4033" t="str">
        <f>"63778866"</f>
        <v>63778866</v>
      </c>
      <c r="B4033" t="s">
        <v>4236</v>
      </c>
      <c r="C4033" t="s">
        <v>15</v>
      </c>
      <c r="D4033" t="str">
        <f t="shared" si="127"/>
        <v>561835</v>
      </c>
      <c r="E4033" t="s">
        <v>4191</v>
      </c>
      <c r="F4033" t="s">
        <v>16</v>
      </c>
    </row>
    <row r="4034" spans="1:6" x14ac:dyDescent="0.25">
      <c r="A4034" t="str">
        <f>"22686541"</f>
        <v>22686541</v>
      </c>
      <c r="B4034" t="s">
        <v>4237</v>
      </c>
      <c r="C4034" t="s">
        <v>7</v>
      </c>
      <c r="D4034" t="str">
        <f t="shared" si="127"/>
        <v>561835</v>
      </c>
      <c r="E4034" t="s">
        <v>4191</v>
      </c>
      <c r="F4034" t="s">
        <v>9</v>
      </c>
    </row>
    <row r="4035" spans="1:6" x14ac:dyDescent="0.25">
      <c r="A4035" t="str">
        <f>"22753346"</f>
        <v>22753346</v>
      </c>
      <c r="B4035" t="s">
        <v>4238</v>
      </c>
      <c r="C4035" t="s">
        <v>7</v>
      </c>
      <c r="D4035" t="str">
        <f t="shared" si="127"/>
        <v>561835</v>
      </c>
      <c r="E4035" t="s">
        <v>4191</v>
      </c>
      <c r="F4035" t="s">
        <v>35</v>
      </c>
    </row>
    <row r="4036" spans="1:6" x14ac:dyDescent="0.25">
      <c r="A4036" t="str">
        <f>"22681744"</f>
        <v>22681744</v>
      </c>
      <c r="B4036" t="s">
        <v>4239</v>
      </c>
      <c r="C4036" t="s">
        <v>7</v>
      </c>
      <c r="D4036" t="str">
        <f t="shared" si="127"/>
        <v>561835</v>
      </c>
      <c r="E4036" t="s">
        <v>4191</v>
      </c>
      <c r="F4036" t="s">
        <v>9</v>
      </c>
    </row>
    <row r="4037" spans="1:6" x14ac:dyDescent="0.25">
      <c r="A4037" t="str">
        <f>"26657864"</f>
        <v>26657864</v>
      </c>
      <c r="B4037" t="s">
        <v>4240</v>
      </c>
      <c r="C4037" t="s">
        <v>7</v>
      </c>
      <c r="D4037" t="str">
        <f t="shared" si="127"/>
        <v>561835</v>
      </c>
      <c r="E4037" t="s">
        <v>4191</v>
      </c>
      <c r="F4037" t="s">
        <v>11</v>
      </c>
    </row>
    <row r="4038" spans="1:6" x14ac:dyDescent="0.25">
      <c r="A4038" t="str">
        <f>"70693773"</f>
        <v>70693773</v>
      </c>
      <c r="B4038" t="s">
        <v>4241</v>
      </c>
      <c r="C4038" t="s">
        <v>7</v>
      </c>
      <c r="D4038" t="str">
        <f t="shared" si="127"/>
        <v>561835</v>
      </c>
      <c r="E4038" t="s">
        <v>4191</v>
      </c>
      <c r="F4038" t="s">
        <v>11</v>
      </c>
    </row>
    <row r="4039" spans="1:6" x14ac:dyDescent="0.25">
      <c r="A4039" t="str">
        <f>"62237624"</f>
        <v>62237624</v>
      </c>
      <c r="B4039" t="s">
        <v>4242</v>
      </c>
      <c r="C4039" t="s">
        <v>7</v>
      </c>
      <c r="D4039" t="str">
        <f t="shared" si="127"/>
        <v>561835</v>
      </c>
      <c r="E4039" t="s">
        <v>4191</v>
      </c>
      <c r="F4039" t="s">
        <v>13</v>
      </c>
    </row>
    <row r="4040" spans="1:6" x14ac:dyDescent="0.25">
      <c r="A4040" t="str">
        <f>"21006351"</f>
        <v>21006351</v>
      </c>
      <c r="B4040" t="s">
        <v>4243</v>
      </c>
      <c r="C4040" t="s">
        <v>7</v>
      </c>
      <c r="D4040" t="str">
        <f t="shared" si="127"/>
        <v>561835</v>
      </c>
      <c r="E4040" t="s">
        <v>4191</v>
      </c>
      <c r="F4040" t="s">
        <v>62</v>
      </c>
    </row>
    <row r="4041" spans="1:6" x14ac:dyDescent="0.25">
      <c r="A4041" t="str">
        <f>"49864564"</f>
        <v>49864564</v>
      </c>
      <c r="B4041" t="s">
        <v>4244</v>
      </c>
      <c r="C4041" t="s">
        <v>7</v>
      </c>
      <c r="D4041" t="str">
        <f t="shared" si="127"/>
        <v>561835</v>
      </c>
      <c r="E4041" t="s">
        <v>4191</v>
      </c>
      <c r="F4041" t="s">
        <v>9</v>
      </c>
    </row>
    <row r="4042" spans="1:6" x14ac:dyDescent="0.25">
      <c r="A4042" t="str">
        <f>"22685588"</f>
        <v>22685588</v>
      </c>
      <c r="B4042" t="s">
        <v>4245</v>
      </c>
      <c r="C4042" t="s">
        <v>7</v>
      </c>
      <c r="D4042" t="str">
        <f t="shared" si="127"/>
        <v>561835</v>
      </c>
      <c r="E4042" t="s">
        <v>4191</v>
      </c>
      <c r="F4042" t="s">
        <v>11</v>
      </c>
    </row>
    <row r="4043" spans="1:6" x14ac:dyDescent="0.25">
      <c r="A4043" t="str">
        <f>"71183973"</f>
        <v>71183973</v>
      </c>
      <c r="B4043" t="s">
        <v>4246</v>
      </c>
      <c r="C4043" t="s">
        <v>15</v>
      </c>
      <c r="D4043" t="str">
        <f t="shared" si="127"/>
        <v>561835</v>
      </c>
      <c r="E4043" t="s">
        <v>4191</v>
      </c>
      <c r="F4043" t="s">
        <v>137</v>
      </c>
    </row>
    <row r="4044" spans="1:6" x14ac:dyDescent="0.25">
      <c r="A4044" t="str">
        <f>"22715151"</f>
        <v>22715151</v>
      </c>
      <c r="B4044" t="s">
        <v>4247</v>
      </c>
      <c r="C4044" t="s">
        <v>7</v>
      </c>
      <c r="D4044" t="str">
        <f t="shared" si="127"/>
        <v>561835</v>
      </c>
      <c r="E4044" t="s">
        <v>4191</v>
      </c>
      <c r="F4044" t="s">
        <v>62</v>
      </c>
    </row>
    <row r="4045" spans="1:6" x14ac:dyDescent="0.25">
      <c r="A4045" t="str">
        <f>"46750657"</f>
        <v>46750657</v>
      </c>
      <c r="B4045" t="s">
        <v>4248</v>
      </c>
      <c r="C4045" t="s">
        <v>7</v>
      </c>
      <c r="D4045" t="str">
        <f t="shared" si="127"/>
        <v>561835</v>
      </c>
      <c r="E4045" t="s">
        <v>4191</v>
      </c>
      <c r="F4045" t="s">
        <v>65</v>
      </c>
    </row>
    <row r="4046" spans="1:6" x14ac:dyDescent="0.25">
      <c r="A4046" t="str">
        <f>"01835050"</f>
        <v>01835050</v>
      </c>
      <c r="B4046" t="s">
        <v>4249</v>
      </c>
      <c r="C4046" t="s">
        <v>7</v>
      </c>
      <c r="D4046" t="str">
        <f t="shared" si="127"/>
        <v>561835</v>
      </c>
      <c r="E4046" t="s">
        <v>4191</v>
      </c>
      <c r="F4046" t="s">
        <v>35</v>
      </c>
    </row>
    <row r="4047" spans="1:6" x14ac:dyDescent="0.25">
      <c r="A4047" t="str">
        <f>"22762931"</f>
        <v>22762931</v>
      </c>
      <c r="B4047" t="s">
        <v>4250</v>
      </c>
      <c r="C4047" t="s">
        <v>7</v>
      </c>
      <c r="D4047" t="str">
        <f t="shared" si="127"/>
        <v>561835</v>
      </c>
      <c r="E4047" t="s">
        <v>4191</v>
      </c>
      <c r="F4047" t="s">
        <v>35</v>
      </c>
    </row>
    <row r="4048" spans="1:6" x14ac:dyDescent="0.25">
      <c r="A4048" t="str">
        <f>"26542315"</f>
        <v>26542315</v>
      </c>
      <c r="B4048" t="s">
        <v>4251</v>
      </c>
      <c r="C4048" t="s">
        <v>7</v>
      </c>
      <c r="D4048" t="str">
        <f t="shared" si="127"/>
        <v>561835</v>
      </c>
      <c r="E4048" t="s">
        <v>4191</v>
      </c>
      <c r="F4048" t="s">
        <v>9</v>
      </c>
    </row>
    <row r="4049" spans="1:6" x14ac:dyDescent="0.25">
      <c r="A4049" t="str">
        <f>"27016277"</f>
        <v>27016277</v>
      </c>
      <c r="B4049" t="s">
        <v>4252</v>
      </c>
      <c r="C4049" t="s">
        <v>7</v>
      </c>
      <c r="D4049" t="str">
        <f t="shared" si="127"/>
        <v>561835</v>
      </c>
      <c r="E4049" t="s">
        <v>4191</v>
      </c>
      <c r="F4049" t="s">
        <v>11</v>
      </c>
    </row>
    <row r="4050" spans="1:6" x14ac:dyDescent="0.25">
      <c r="A4050" t="str">
        <f>"27021475"</f>
        <v>27021475</v>
      </c>
      <c r="B4050" t="s">
        <v>4253</v>
      </c>
      <c r="C4050" t="s">
        <v>7</v>
      </c>
      <c r="D4050" t="str">
        <f t="shared" si="127"/>
        <v>561835</v>
      </c>
      <c r="E4050" t="s">
        <v>4191</v>
      </c>
      <c r="F4050" t="s">
        <v>13</v>
      </c>
    </row>
    <row r="4051" spans="1:6" x14ac:dyDescent="0.25">
      <c r="A4051" t="str">
        <f>"28551567"</f>
        <v>28551567</v>
      </c>
      <c r="B4051" t="s">
        <v>4254</v>
      </c>
      <c r="C4051" t="s">
        <v>7</v>
      </c>
      <c r="D4051" t="str">
        <f t="shared" si="127"/>
        <v>561835</v>
      </c>
      <c r="E4051" t="s">
        <v>4191</v>
      </c>
      <c r="F4051" t="s">
        <v>9</v>
      </c>
    </row>
    <row r="4052" spans="1:6" x14ac:dyDescent="0.25">
      <c r="A4052" t="str">
        <f>"72745037"</f>
        <v>72745037</v>
      </c>
      <c r="B4052" t="s">
        <v>4255</v>
      </c>
      <c r="C4052" t="s">
        <v>15</v>
      </c>
      <c r="D4052" t="str">
        <f t="shared" ref="D4052:D4058" si="128">"561835"</f>
        <v>561835</v>
      </c>
      <c r="E4052" t="s">
        <v>4191</v>
      </c>
      <c r="F4052" t="s">
        <v>29</v>
      </c>
    </row>
    <row r="4053" spans="1:6" x14ac:dyDescent="0.25">
      <c r="A4053" t="str">
        <f>"75083710"</f>
        <v>75083710</v>
      </c>
      <c r="B4053" t="s">
        <v>4256</v>
      </c>
      <c r="C4053" t="s">
        <v>15</v>
      </c>
      <c r="D4053" t="str">
        <f t="shared" si="128"/>
        <v>561835</v>
      </c>
      <c r="E4053" t="s">
        <v>4191</v>
      </c>
      <c r="F4053" t="s">
        <v>29</v>
      </c>
    </row>
    <row r="4054" spans="1:6" x14ac:dyDescent="0.25">
      <c r="A4054" t="str">
        <f>"75059207"</f>
        <v>75059207</v>
      </c>
      <c r="B4054" t="s">
        <v>4257</v>
      </c>
      <c r="C4054" t="s">
        <v>15</v>
      </c>
      <c r="D4054" t="str">
        <f t="shared" si="128"/>
        <v>561835</v>
      </c>
      <c r="E4054" t="s">
        <v>4191</v>
      </c>
      <c r="F4054" t="s">
        <v>29</v>
      </c>
    </row>
    <row r="4055" spans="1:6" x14ac:dyDescent="0.25">
      <c r="A4055" t="str">
        <f>"04212495"</f>
        <v>04212495</v>
      </c>
      <c r="B4055" t="s">
        <v>4258</v>
      </c>
      <c r="C4055" t="s">
        <v>20</v>
      </c>
      <c r="D4055" t="str">
        <f t="shared" si="128"/>
        <v>561835</v>
      </c>
      <c r="E4055" t="s">
        <v>4191</v>
      </c>
      <c r="F4055" t="s">
        <v>21</v>
      </c>
    </row>
    <row r="4056" spans="1:6" x14ac:dyDescent="0.25">
      <c r="A4056" t="str">
        <f>"22736506"</f>
        <v>22736506</v>
      </c>
      <c r="B4056" t="s">
        <v>4259</v>
      </c>
      <c r="C4056" t="s">
        <v>7</v>
      </c>
      <c r="D4056" t="str">
        <f t="shared" si="128"/>
        <v>561835</v>
      </c>
      <c r="E4056" t="s">
        <v>4191</v>
      </c>
      <c r="F4056" t="s">
        <v>11</v>
      </c>
    </row>
    <row r="4057" spans="1:6" x14ac:dyDescent="0.25">
      <c r="A4057" t="str">
        <f>"22868046"</f>
        <v>22868046</v>
      </c>
      <c r="B4057" t="s">
        <v>4260</v>
      </c>
      <c r="C4057" t="s">
        <v>7</v>
      </c>
      <c r="D4057" t="str">
        <f t="shared" si="128"/>
        <v>561835</v>
      </c>
      <c r="E4057" t="s">
        <v>4191</v>
      </c>
      <c r="F4057" t="s">
        <v>62</v>
      </c>
    </row>
    <row r="4058" spans="1:6" x14ac:dyDescent="0.25">
      <c r="A4058" t="str">
        <f>"71185895"</f>
        <v>71185895</v>
      </c>
      <c r="B4058" t="s">
        <v>4261</v>
      </c>
      <c r="C4058" t="s">
        <v>15</v>
      </c>
      <c r="D4058" t="str">
        <f t="shared" si="128"/>
        <v>561835</v>
      </c>
      <c r="E4058" t="s">
        <v>4191</v>
      </c>
      <c r="F4058" t="s">
        <v>18</v>
      </c>
    </row>
    <row r="4059" spans="1:6" x14ac:dyDescent="0.25">
      <c r="A4059" t="str">
        <f>"21599688"</f>
        <v>21599688</v>
      </c>
      <c r="B4059" t="s">
        <v>4262</v>
      </c>
      <c r="C4059" t="s">
        <v>15</v>
      </c>
      <c r="D4059" t="str">
        <f t="shared" ref="D4059:D4082" si="129">"564231"</f>
        <v>564231</v>
      </c>
      <c r="E4059" t="s">
        <v>4263</v>
      </c>
      <c r="F4059" t="s">
        <v>139</v>
      </c>
    </row>
    <row r="4060" spans="1:6" x14ac:dyDescent="0.25">
      <c r="A4060" t="str">
        <f>"01336258"</f>
        <v>01336258</v>
      </c>
      <c r="B4060" t="s">
        <v>4264</v>
      </c>
      <c r="C4060" t="s">
        <v>7</v>
      </c>
      <c r="D4060" t="str">
        <f t="shared" si="129"/>
        <v>564231</v>
      </c>
      <c r="E4060" t="s">
        <v>4263</v>
      </c>
      <c r="F4060" t="s">
        <v>29</v>
      </c>
    </row>
    <row r="4061" spans="1:6" x14ac:dyDescent="0.25">
      <c r="A4061" t="str">
        <f>"22908617"</f>
        <v>22908617</v>
      </c>
      <c r="B4061" t="s">
        <v>4265</v>
      </c>
      <c r="C4061" t="s">
        <v>7</v>
      </c>
      <c r="D4061" t="str">
        <f t="shared" si="129"/>
        <v>564231</v>
      </c>
      <c r="E4061" t="s">
        <v>4263</v>
      </c>
      <c r="F4061" t="s">
        <v>35</v>
      </c>
    </row>
    <row r="4062" spans="1:6" x14ac:dyDescent="0.25">
      <c r="A4062" t="str">
        <f>"75013088"</f>
        <v>75013088</v>
      </c>
      <c r="B4062" t="s">
        <v>4266</v>
      </c>
      <c r="C4062" t="s">
        <v>20</v>
      </c>
      <c r="D4062" t="str">
        <f t="shared" si="129"/>
        <v>564231</v>
      </c>
      <c r="E4062" t="s">
        <v>4263</v>
      </c>
      <c r="F4062" t="s">
        <v>21</v>
      </c>
    </row>
    <row r="4063" spans="1:6" x14ac:dyDescent="0.25">
      <c r="A4063" t="str">
        <f>"26572575"</f>
        <v>26572575</v>
      </c>
      <c r="B4063" t="s">
        <v>4267</v>
      </c>
      <c r="C4063" t="s">
        <v>7</v>
      </c>
      <c r="D4063" t="str">
        <f t="shared" si="129"/>
        <v>564231</v>
      </c>
      <c r="E4063" t="s">
        <v>4263</v>
      </c>
      <c r="F4063" t="s">
        <v>11</v>
      </c>
    </row>
    <row r="4064" spans="1:6" x14ac:dyDescent="0.25">
      <c r="A4064" t="str">
        <f>"46744690"</f>
        <v>46744690</v>
      </c>
      <c r="B4064" t="s">
        <v>4268</v>
      </c>
      <c r="C4064" t="s">
        <v>7</v>
      </c>
      <c r="D4064" t="str">
        <f t="shared" si="129"/>
        <v>564231</v>
      </c>
      <c r="E4064" t="s">
        <v>4263</v>
      </c>
      <c r="F4064" t="s">
        <v>9</v>
      </c>
    </row>
    <row r="4065" spans="1:6" x14ac:dyDescent="0.25">
      <c r="A4065" t="str">
        <f>"71189335"</f>
        <v>71189335</v>
      </c>
      <c r="B4065" t="s">
        <v>4269</v>
      </c>
      <c r="C4065" t="s">
        <v>37</v>
      </c>
      <c r="D4065" t="str">
        <f t="shared" si="129"/>
        <v>564231</v>
      </c>
      <c r="E4065" t="s">
        <v>4263</v>
      </c>
      <c r="F4065" t="s">
        <v>38</v>
      </c>
    </row>
    <row r="4066" spans="1:6" x14ac:dyDescent="0.25">
      <c r="A4066" t="str">
        <f>"71175377"</f>
        <v>71175377</v>
      </c>
      <c r="B4066" t="s">
        <v>4270</v>
      </c>
      <c r="C4066" t="s">
        <v>37</v>
      </c>
      <c r="D4066" t="str">
        <f t="shared" si="129"/>
        <v>564231</v>
      </c>
      <c r="E4066" t="s">
        <v>4263</v>
      </c>
      <c r="F4066" t="s">
        <v>38</v>
      </c>
    </row>
    <row r="4067" spans="1:6" x14ac:dyDescent="0.25">
      <c r="A4067" t="str">
        <f>"71172343"</f>
        <v>71172343</v>
      </c>
      <c r="B4067" t="s">
        <v>4271</v>
      </c>
      <c r="C4067" t="s">
        <v>37</v>
      </c>
      <c r="D4067" t="str">
        <f t="shared" si="129"/>
        <v>564231</v>
      </c>
      <c r="E4067" t="s">
        <v>4263</v>
      </c>
      <c r="F4067" t="s">
        <v>38</v>
      </c>
    </row>
    <row r="4068" spans="1:6" x14ac:dyDescent="0.25">
      <c r="A4068" t="str">
        <f>"17268826"</f>
        <v>17268826</v>
      </c>
      <c r="B4068" t="s">
        <v>4272</v>
      </c>
      <c r="C4068" t="s">
        <v>124</v>
      </c>
      <c r="D4068" t="str">
        <f t="shared" si="129"/>
        <v>564231</v>
      </c>
      <c r="E4068" t="s">
        <v>4263</v>
      </c>
      <c r="F4068" t="s">
        <v>11</v>
      </c>
    </row>
    <row r="4069" spans="1:6" x14ac:dyDescent="0.25">
      <c r="A4069" t="str">
        <f>"22583840"</f>
        <v>22583840</v>
      </c>
      <c r="B4069" t="s">
        <v>4273</v>
      </c>
      <c r="C4069" t="s">
        <v>7</v>
      </c>
      <c r="D4069" t="str">
        <f t="shared" si="129"/>
        <v>564231</v>
      </c>
      <c r="E4069" t="s">
        <v>4263</v>
      </c>
      <c r="F4069" t="s">
        <v>29</v>
      </c>
    </row>
    <row r="4070" spans="1:6" x14ac:dyDescent="0.25">
      <c r="A4070" t="str">
        <f>"46746960"</f>
        <v>46746960</v>
      </c>
      <c r="B4070" t="s">
        <v>4274</v>
      </c>
      <c r="C4070" t="s">
        <v>7</v>
      </c>
      <c r="D4070" t="str">
        <f t="shared" si="129"/>
        <v>564231</v>
      </c>
      <c r="E4070" t="s">
        <v>4263</v>
      </c>
      <c r="F4070" t="s">
        <v>11</v>
      </c>
    </row>
    <row r="4071" spans="1:6" x14ac:dyDescent="0.25">
      <c r="A4071" t="str">
        <f>"10702628"</f>
        <v>10702628</v>
      </c>
      <c r="B4071" t="s">
        <v>4275</v>
      </c>
      <c r="C4071" t="s">
        <v>7</v>
      </c>
      <c r="D4071" t="str">
        <f t="shared" si="129"/>
        <v>564231</v>
      </c>
      <c r="E4071" t="s">
        <v>4263</v>
      </c>
      <c r="F4071" t="s">
        <v>29</v>
      </c>
    </row>
    <row r="4072" spans="1:6" x14ac:dyDescent="0.25">
      <c r="A4072" t="str">
        <f>"22862293"</f>
        <v>22862293</v>
      </c>
      <c r="B4072" t="s">
        <v>4276</v>
      </c>
      <c r="C4072" t="s">
        <v>7</v>
      </c>
      <c r="D4072" t="str">
        <f t="shared" si="129"/>
        <v>564231</v>
      </c>
      <c r="E4072" t="s">
        <v>4263</v>
      </c>
      <c r="F4072" t="s">
        <v>38</v>
      </c>
    </row>
    <row r="4073" spans="1:6" x14ac:dyDescent="0.25">
      <c r="A4073" t="str">
        <f>"46745670"</f>
        <v>46745670</v>
      </c>
      <c r="B4073" t="s">
        <v>4277</v>
      </c>
      <c r="C4073" t="s">
        <v>7</v>
      </c>
      <c r="D4073" t="str">
        <f t="shared" si="129"/>
        <v>564231</v>
      </c>
      <c r="E4073" t="s">
        <v>4263</v>
      </c>
      <c r="F4073" t="s">
        <v>38</v>
      </c>
    </row>
    <row r="4074" spans="1:6" x14ac:dyDescent="0.25">
      <c r="A4074" t="str">
        <f>"26595699"</f>
        <v>26595699</v>
      </c>
      <c r="B4074" t="s">
        <v>4278</v>
      </c>
      <c r="C4074" t="s">
        <v>7</v>
      </c>
      <c r="D4074" t="str">
        <f t="shared" si="129"/>
        <v>564231</v>
      </c>
      <c r="E4074" t="s">
        <v>4263</v>
      </c>
      <c r="F4074" t="s">
        <v>11</v>
      </c>
    </row>
    <row r="4075" spans="1:6" x14ac:dyDescent="0.25">
      <c r="A4075" t="str">
        <f>"26627418"</f>
        <v>26627418</v>
      </c>
      <c r="B4075" t="s">
        <v>4279</v>
      </c>
      <c r="C4075" t="s">
        <v>7</v>
      </c>
      <c r="D4075" t="str">
        <f t="shared" si="129"/>
        <v>564231</v>
      </c>
      <c r="E4075" t="s">
        <v>4263</v>
      </c>
      <c r="F4075" t="s">
        <v>11</v>
      </c>
    </row>
    <row r="4076" spans="1:6" x14ac:dyDescent="0.25">
      <c r="A4076" t="str">
        <f>"04138996"</f>
        <v>04138996</v>
      </c>
      <c r="B4076" t="s">
        <v>4280</v>
      </c>
      <c r="C4076" t="s">
        <v>7</v>
      </c>
      <c r="D4076" t="str">
        <f t="shared" si="129"/>
        <v>564231</v>
      </c>
      <c r="E4076" t="s">
        <v>4263</v>
      </c>
      <c r="F4076" t="s">
        <v>62</v>
      </c>
    </row>
    <row r="4077" spans="1:6" x14ac:dyDescent="0.25">
      <c r="A4077" t="str">
        <f>"64039161"</f>
        <v>64039161</v>
      </c>
      <c r="B4077" t="s">
        <v>4281</v>
      </c>
      <c r="C4077" t="s">
        <v>15</v>
      </c>
      <c r="D4077" t="str">
        <f t="shared" si="129"/>
        <v>564231</v>
      </c>
      <c r="E4077" t="s">
        <v>4263</v>
      </c>
      <c r="F4077" t="s">
        <v>16</v>
      </c>
    </row>
    <row r="4078" spans="1:6" x14ac:dyDescent="0.25">
      <c r="A4078" t="str">
        <f>"19182775"</f>
        <v>19182775</v>
      </c>
      <c r="B4078" t="s">
        <v>4282</v>
      </c>
      <c r="C4078" t="s">
        <v>7</v>
      </c>
      <c r="D4078" t="str">
        <f t="shared" si="129"/>
        <v>564231</v>
      </c>
      <c r="E4078" t="s">
        <v>4263</v>
      </c>
      <c r="F4078" t="s">
        <v>11</v>
      </c>
    </row>
    <row r="4079" spans="1:6" x14ac:dyDescent="0.25">
      <c r="A4079" t="str">
        <f>"04562976"</f>
        <v>04562976</v>
      </c>
      <c r="B4079" t="s">
        <v>4283</v>
      </c>
      <c r="C4079" t="s">
        <v>7</v>
      </c>
      <c r="D4079" t="str">
        <f t="shared" si="129"/>
        <v>564231</v>
      </c>
      <c r="E4079" t="s">
        <v>4263</v>
      </c>
      <c r="F4079" t="s">
        <v>11</v>
      </c>
    </row>
    <row r="4080" spans="1:6" x14ac:dyDescent="0.25">
      <c r="A4080" t="str">
        <f>"10769056"</f>
        <v>10769056</v>
      </c>
      <c r="B4080" t="s">
        <v>4284</v>
      </c>
      <c r="C4080" t="s">
        <v>7</v>
      </c>
      <c r="D4080" t="str">
        <f t="shared" si="129"/>
        <v>564231</v>
      </c>
      <c r="E4080" t="s">
        <v>4263</v>
      </c>
      <c r="F4080" t="s">
        <v>62</v>
      </c>
    </row>
    <row r="4081" spans="1:6" x14ac:dyDescent="0.25">
      <c r="A4081" t="str">
        <f>"02502313"</f>
        <v>02502313</v>
      </c>
      <c r="B4081" t="s">
        <v>4285</v>
      </c>
      <c r="C4081" t="s">
        <v>7</v>
      </c>
      <c r="D4081" t="str">
        <f t="shared" si="129"/>
        <v>564231</v>
      </c>
      <c r="E4081" t="s">
        <v>4263</v>
      </c>
      <c r="F4081" t="s">
        <v>35</v>
      </c>
    </row>
    <row r="4082" spans="1:6" x14ac:dyDescent="0.25">
      <c r="A4082" t="str">
        <f>"04460618"</f>
        <v>04460618</v>
      </c>
      <c r="B4082" t="s">
        <v>4286</v>
      </c>
      <c r="C4082" t="s">
        <v>7</v>
      </c>
      <c r="D4082" t="str">
        <f t="shared" si="129"/>
        <v>564231</v>
      </c>
      <c r="E4082" t="s">
        <v>4263</v>
      </c>
      <c r="F4082" t="s">
        <v>13</v>
      </c>
    </row>
    <row r="4083" spans="1:6" x14ac:dyDescent="0.25">
      <c r="A4083" t="str">
        <f>"22755691"</f>
        <v>22755691</v>
      </c>
      <c r="B4083" t="s">
        <v>4287</v>
      </c>
      <c r="C4083" t="s">
        <v>7</v>
      </c>
      <c r="D4083" t="str">
        <f>"577324"</f>
        <v>577324</v>
      </c>
      <c r="E4083" t="s">
        <v>4288</v>
      </c>
      <c r="F4083" t="s">
        <v>35</v>
      </c>
    </row>
    <row r="4084" spans="1:6" x14ac:dyDescent="0.25">
      <c r="A4084" t="str">
        <f>"62012860"</f>
        <v>62012860</v>
      </c>
      <c r="B4084" t="s">
        <v>4289</v>
      </c>
      <c r="C4084" t="s">
        <v>15</v>
      </c>
      <c r="D4084" t="str">
        <f>"577324"</f>
        <v>577324</v>
      </c>
      <c r="E4084" t="s">
        <v>4288</v>
      </c>
      <c r="F4084" t="s">
        <v>16</v>
      </c>
    </row>
    <row r="4085" spans="1:6" x14ac:dyDescent="0.25">
      <c r="A4085" t="str">
        <f>"62013416"</f>
        <v>62013416</v>
      </c>
      <c r="B4085" t="s">
        <v>4290</v>
      </c>
      <c r="C4085" t="s">
        <v>15</v>
      </c>
      <c r="D4085" t="str">
        <f>"577324"</f>
        <v>577324</v>
      </c>
      <c r="E4085" t="s">
        <v>4288</v>
      </c>
      <c r="F4085" t="s">
        <v>16</v>
      </c>
    </row>
    <row r="4086" spans="1:6" x14ac:dyDescent="0.25">
      <c r="A4086" t="str">
        <f>"06794114"</f>
        <v>06794114</v>
      </c>
      <c r="B4086" t="s">
        <v>4291</v>
      </c>
      <c r="C4086" t="s">
        <v>7</v>
      </c>
      <c r="D4086" t="str">
        <f>"577324"</f>
        <v>577324</v>
      </c>
      <c r="E4086" t="s">
        <v>4288</v>
      </c>
      <c r="F4086" t="s">
        <v>11</v>
      </c>
    </row>
    <row r="4087" spans="1:6" x14ac:dyDescent="0.25">
      <c r="A4087" t="str">
        <f>"07035551"</f>
        <v>07035551</v>
      </c>
      <c r="B4087" t="s">
        <v>4292</v>
      </c>
      <c r="C4087" t="s">
        <v>7</v>
      </c>
      <c r="D4087" t="str">
        <f t="shared" ref="D4087:D4108" si="130">"577316"</f>
        <v>577316</v>
      </c>
      <c r="E4087" t="s">
        <v>4293</v>
      </c>
      <c r="F4087" t="s">
        <v>11</v>
      </c>
    </row>
    <row r="4088" spans="1:6" x14ac:dyDescent="0.25">
      <c r="A4088" t="str">
        <f>"22859187"</f>
        <v>22859187</v>
      </c>
      <c r="B4088" t="s">
        <v>4294</v>
      </c>
      <c r="C4088" t="s">
        <v>7</v>
      </c>
      <c r="D4088" t="str">
        <f t="shared" si="130"/>
        <v>577316</v>
      </c>
      <c r="E4088" t="s">
        <v>4293</v>
      </c>
      <c r="F4088" t="s">
        <v>11</v>
      </c>
    </row>
    <row r="4089" spans="1:6" x14ac:dyDescent="0.25">
      <c r="A4089" t="str">
        <f>"45599289"</f>
        <v>45599289</v>
      </c>
      <c r="B4089" t="s">
        <v>4295</v>
      </c>
      <c r="C4089" t="s">
        <v>37</v>
      </c>
      <c r="D4089" t="str">
        <f t="shared" si="130"/>
        <v>577316</v>
      </c>
      <c r="E4089" t="s">
        <v>4293</v>
      </c>
      <c r="F4089" t="s">
        <v>38</v>
      </c>
    </row>
    <row r="4090" spans="1:6" x14ac:dyDescent="0.25">
      <c r="A4090" t="str">
        <f>"75001781"</f>
        <v>75001781</v>
      </c>
      <c r="B4090" t="s">
        <v>4296</v>
      </c>
      <c r="C4090" t="s">
        <v>37</v>
      </c>
      <c r="D4090" t="str">
        <f t="shared" si="130"/>
        <v>577316</v>
      </c>
      <c r="E4090" t="s">
        <v>4293</v>
      </c>
      <c r="F4090" t="s">
        <v>38</v>
      </c>
    </row>
    <row r="4091" spans="1:6" x14ac:dyDescent="0.25">
      <c r="A4091" t="str">
        <f>"27011721"</f>
        <v>27011721</v>
      </c>
      <c r="B4091" t="s">
        <v>4297</v>
      </c>
      <c r="C4091" t="s">
        <v>7</v>
      </c>
      <c r="D4091" t="str">
        <f t="shared" si="130"/>
        <v>577316</v>
      </c>
      <c r="E4091" t="s">
        <v>4293</v>
      </c>
      <c r="F4091" t="s">
        <v>13</v>
      </c>
    </row>
    <row r="4092" spans="1:6" x14ac:dyDescent="0.25">
      <c r="A4092" t="str">
        <f>"26629763"</f>
        <v>26629763</v>
      </c>
      <c r="B4092" t="s">
        <v>4298</v>
      </c>
      <c r="C4092" t="s">
        <v>7</v>
      </c>
      <c r="D4092" t="str">
        <f t="shared" si="130"/>
        <v>577316</v>
      </c>
      <c r="E4092" t="s">
        <v>4293</v>
      </c>
      <c r="F4092" t="s">
        <v>38</v>
      </c>
    </row>
    <row r="4093" spans="1:6" x14ac:dyDescent="0.25">
      <c r="A4093" t="str">
        <f>"06807291"</f>
        <v>06807291</v>
      </c>
      <c r="B4093" t="s">
        <v>4299</v>
      </c>
      <c r="C4093" t="s">
        <v>27</v>
      </c>
      <c r="D4093" t="str">
        <f t="shared" si="130"/>
        <v>577316</v>
      </c>
      <c r="E4093" t="s">
        <v>4293</v>
      </c>
      <c r="F4093" t="s">
        <v>62</v>
      </c>
    </row>
    <row r="4094" spans="1:6" x14ac:dyDescent="0.25">
      <c r="A4094" t="str">
        <f>"26671191"</f>
        <v>26671191</v>
      </c>
      <c r="B4094" t="s">
        <v>4300</v>
      </c>
      <c r="C4094" t="s">
        <v>7</v>
      </c>
      <c r="D4094" t="str">
        <f t="shared" si="130"/>
        <v>577316</v>
      </c>
      <c r="E4094" t="s">
        <v>4293</v>
      </c>
      <c r="F4094" t="s">
        <v>11</v>
      </c>
    </row>
    <row r="4095" spans="1:6" x14ac:dyDescent="0.25">
      <c r="A4095" t="str">
        <f>"70147132"</f>
        <v>70147132</v>
      </c>
      <c r="B4095" t="s">
        <v>4301</v>
      </c>
      <c r="C4095" t="s">
        <v>15</v>
      </c>
      <c r="D4095" t="str">
        <f t="shared" si="130"/>
        <v>577316</v>
      </c>
      <c r="E4095" t="s">
        <v>4293</v>
      </c>
      <c r="F4095" t="s">
        <v>16</v>
      </c>
    </row>
    <row r="4096" spans="1:6" x14ac:dyDescent="0.25">
      <c r="A4096" t="str">
        <f>"62013599"</f>
        <v>62013599</v>
      </c>
      <c r="B4096" t="s">
        <v>4302</v>
      </c>
      <c r="C4096" t="s">
        <v>15</v>
      </c>
      <c r="D4096" t="str">
        <f t="shared" si="130"/>
        <v>577316</v>
      </c>
      <c r="E4096" t="s">
        <v>4293</v>
      </c>
      <c r="F4096" t="s">
        <v>16</v>
      </c>
    </row>
    <row r="4097" spans="1:6" x14ac:dyDescent="0.25">
      <c r="A4097" t="str">
        <f>"62013491"</f>
        <v>62013491</v>
      </c>
      <c r="B4097" t="s">
        <v>4303</v>
      </c>
      <c r="C4097" t="s">
        <v>15</v>
      </c>
      <c r="D4097" t="str">
        <f t="shared" si="130"/>
        <v>577316</v>
      </c>
      <c r="E4097" t="s">
        <v>4293</v>
      </c>
      <c r="F4097" t="s">
        <v>16</v>
      </c>
    </row>
    <row r="4098" spans="1:6" x14ac:dyDescent="0.25">
      <c r="A4098" t="str">
        <f>"62013947"</f>
        <v>62013947</v>
      </c>
      <c r="B4098" t="s">
        <v>4304</v>
      </c>
      <c r="C4098" t="s">
        <v>15</v>
      </c>
      <c r="D4098" t="str">
        <f t="shared" si="130"/>
        <v>577316</v>
      </c>
      <c r="E4098" t="s">
        <v>4293</v>
      </c>
      <c r="F4098" t="s">
        <v>16</v>
      </c>
    </row>
    <row r="4099" spans="1:6" x14ac:dyDescent="0.25">
      <c r="A4099" t="str">
        <f>"62013581"</f>
        <v>62013581</v>
      </c>
      <c r="B4099" t="s">
        <v>3293</v>
      </c>
      <c r="C4099" t="s">
        <v>15</v>
      </c>
      <c r="D4099" t="str">
        <f t="shared" si="130"/>
        <v>577316</v>
      </c>
      <c r="E4099" t="s">
        <v>4293</v>
      </c>
      <c r="F4099" t="s">
        <v>16</v>
      </c>
    </row>
    <row r="4100" spans="1:6" x14ac:dyDescent="0.25">
      <c r="A4100" t="str">
        <f>"49294440"</f>
        <v>49294440</v>
      </c>
      <c r="B4100" t="s">
        <v>4305</v>
      </c>
      <c r="C4100" t="s">
        <v>7</v>
      </c>
      <c r="D4100" t="str">
        <f t="shared" si="130"/>
        <v>577316</v>
      </c>
      <c r="E4100" t="s">
        <v>4293</v>
      </c>
      <c r="F4100" t="s">
        <v>35</v>
      </c>
    </row>
    <row r="4101" spans="1:6" x14ac:dyDescent="0.25">
      <c r="A4101" t="str">
        <f>"26553830"</f>
        <v>26553830</v>
      </c>
      <c r="B4101" t="s">
        <v>4306</v>
      </c>
      <c r="C4101" t="s">
        <v>7</v>
      </c>
      <c r="D4101" t="str">
        <f t="shared" si="130"/>
        <v>577316</v>
      </c>
      <c r="E4101" t="s">
        <v>4293</v>
      </c>
      <c r="F4101" t="s">
        <v>18</v>
      </c>
    </row>
    <row r="4102" spans="1:6" x14ac:dyDescent="0.25">
      <c r="A4102" t="str">
        <f>"62013319"</f>
        <v>62013319</v>
      </c>
      <c r="B4102" t="s">
        <v>4307</v>
      </c>
      <c r="C4102" t="s">
        <v>7</v>
      </c>
      <c r="D4102" t="str">
        <f t="shared" si="130"/>
        <v>577316</v>
      </c>
      <c r="E4102" t="s">
        <v>4293</v>
      </c>
      <c r="F4102" t="s">
        <v>11</v>
      </c>
    </row>
    <row r="4103" spans="1:6" x14ac:dyDescent="0.25">
      <c r="A4103" t="str">
        <f>"06628486"</f>
        <v>06628486</v>
      </c>
      <c r="B4103" t="s">
        <v>4308</v>
      </c>
      <c r="C4103" t="s">
        <v>7</v>
      </c>
      <c r="D4103" t="str">
        <f t="shared" si="130"/>
        <v>577316</v>
      </c>
      <c r="E4103" t="s">
        <v>4293</v>
      </c>
      <c r="F4103" t="s">
        <v>11</v>
      </c>
    </row>
    <row r="4104" spans="1:6" x14ac:dyDescent="0.25">
      <c r="A4104" t="str">
        <f>"22865209"</f>
        <v>22865209</v>
      </c>
      <c r="B4104" t="s">
        <v>4309</v>
      </c>
      <c r="C4104" t="s">
        <v>7</v>
      </c>
      <c r="D4104" t="str">
        <f t="shared" si="130"/>
        <v>577316</v>
      </c>
      <c r="E4104" t="s">
        <v>4293</v>
      </c>
      <c r="F4104" t="s">
        <v>11</v>
      </c>
    </row>
    <row r="4105" spans="1:6" x14ac:dyDescent="0.25">
      <c r="A4105" t="str">
        <f>"45599751"</f>
        <v>45599751</v>
      </c>
      <c r="B4105" t="s">
        <v>4310</v>
      </c>
      <c r="C4105" t="s">
        <v>7</v>
      </c>
      <c r="D4105" t="str">
        <f t="shared" si="130"/>
        <v>577316</v>
      </c>
      <c r="E4105" t="s">
        <v>4293</v>
      </c>
      <c r="F4105" t="s">
        <v>65</v>
      </c>
    </row>
    <row r="4106" spans="1:6" x14ac:dyDescent="0.25">
      <c r="A4106" t="str">
        <f>"62015435"</f>
        <v>62015435</v>
      </c>
      <c r="B4106" t="s">
        <v>4311</v>
      </c>
      <c r="C4106" t="s">
        <v>7</v>
      </c>
      <c r="D4106" t="str">
        <f t="shared" si="130"/>
        <v>577316</v>
      </c>
      <c r="E4106" t="s">
        <v>4293</v>
      </c>
      <c r="F4106" t="s">
        <v>65</v>
      </c>
    </row>
    <row r="4107" spans="1:6" x14ac:dyDescent="0.25">
      <c r="A4107" t="str">
        <f>"49295047"</f>
        <v>49295047</v>
      </c>
      <c r="B4107" t="s">
        <v>4312</v>
      </c>
      <c r="C4107" t="s">
        <v>7</v>
      </c>
      <c r="D4107" t="str">
        <f t="shared" si="130"/>
        <v>577316</v>
      </c>
      <c r="E4107" t="s">
        <v>4293</v>
      </c>
      <c r="F4107" t="s">
        <v>35</v>
      </c>
    </row>
    <row r="4108" spans="1:6" x14ac:dyDescent="0.25">
      <c r="A4108" t="str">
        <f>"01914341"</f>
        <v>01914341</v>
      </c>
      <c r="B4108" t="s">
        <v>4313</v>
      </c>
      <c r="C4108" t="s">
        <v>20</v>
      </c>
      <c r="D4108" t="str">
        <f t="shared" si="130"/>
        <v>577316</v>
      </c>
      <c r="E4108" t="s">
        <v>4293</v>
      </c>
      <c r="F4108" t="s">
        <v>21</v>
      </c>
    </row>
    <row r="4109" spans="1:6" x14ac:dyDescent="0.25">
      <c r="A4109" t="str">
        <f>"19100418"</f>
        <v>19100418</v>
      </c>
      <c r="B4109" t="s">
        <v>4314</v>
      </c>
      <c r="C4109" t="s">
        <v>7</v>
      </c>
      <c r="D4109" t="str">
        <f t="shared" ref="D4109:D4115" si="131">"577332"</f>
        <v>577332</v>
      </c>
      <c r="E4109" t="s">
        <v>4315</v>
      </c>
      <c r="F4109" t="s">
        <v>11</v>
      </c>
    </row>
    <row r="4110" spans="1:6" x14ac:dyDescent="0.25">
      <c r="A4110" t="str">
        <f>"45598894"</f>
        <v>45598894</v>
      </c>
      <c r="B4110" t="s">
        <v>4316</v>
      </c>
      <c r="C4110" t="s">
        <v>37</v>
      </c>
      <c r="D4110" t="str">
        <f t="shared" si="131"/>
        <v>577332</v>
      </c>
      <c r="E4110" t="s">
        <v>4315</v>
      </c>
      <c r="F4110" t="s">
        <v>38</v>
      </c>
    </row>
    <row r="4111" spans="1:6" x14ac:dyDescent="0.25">
      <c r="A4111" t="str">
        <f>"62012665"</f>
        <v>62012665</v>
      </c>
      <c r="B4111" t="s">
        <v>4317</v>
      </c>
      <c r="C4111" t="s">
        <v>43</v>
      </c>
      <c r="D4111" t="str">
        <f t="shared" si="131"/>
        <v>577332</v>
      </c>
      <c r="E4111" t="s">
        <v>4315</v>
      </c>
      <c r="F4111" t="s">
        <v>44</v>
      </c>
    </row>
    <row r="4112" spans="1:6" x14ac:dyDescent="0.25">
      <c r="A4112" t="str">
        <f>"49295985"</f>
        <v>49295985</v>
      </c>
      <c r="B4112" t="s">
        <v>4318</v>
      </c>
      <c r="C4112" t="s">
        <v>15</v>
      </c>
      <c r="D4112" t="str">
        <f t="shared" si="131"/>
        <v>577332</v>
      </c>
      <c r="E4112" t="s">
        <v>4315</v>
      </c>
      <c r="F4112" t="s">
        <v>16</v>
      </c>
    </row>
    <row r="4113" spans="1:6" x14ac:dyDescent="0.25">
      <c r="A4113" t="str">
        <f>"49296060"</f>
        <v>49296060</v>
      </c>
      <c r="B4113" t="s">
        <v>4319</v>
      </c>
      <c r="C4113" t="s">
        <v>7</v>
      </c>
      <c r="D4113" t="str">
        <f t="shared" si="131"/>
        <v>577332</v>
      </c>
      <c r="E4113" t="s">
        <v>4315</v>
      </c>
      <c r="F4113" t="s">
        <v>65</v>
      </c>
    </row>
    <row r="4114" spans="1:6" x14ac:dyDescent="0.25">
      <c r="A4114" t="str">
        <f>"49295179"</f>
        <v>49295179</v>
      </c>
      <c r="B4114" t="s">
        <v>4320</v>
      </c>
      <c r="C4114" t="s">
        <v>15</v>
      </c>
      <c r="D4114" t="str">
        <f t="shared" si="131"/>
        <v>577332</v>
      </c>
      <c r="E4114" t="s">
        <v>4315</v>
      </c>
      <c r="F4114" t="s">
        <v>11</v>
      </c>
    </row>
    <row r="4115" spans="1:6" x14ac:dyDescent="0.25">
      <c r="A4115" t="str">
        <f>"15045552"</f>
        <v>15045552</v>
      </c>
      <c r="B4115" t="s">
        <v>4321</v>
      </c>
      <c r="C4115" t="s">
        <v>7</v>
      </c>
      <c r="D4115" t="str">
        <f t="shared" si="131"/>
        <v>577332</v>
      </c>
      <c r="E4115" t="s">
        <v>4315</v>
      </c>
      <c r="F4115" t="s">
        <v>65</v>
      </c>
    </row>
    <row r="4116" spans="1:6" x14ac:dyDescent="0.25">
      <c r="A4116" t="str">
        <f>"22844961"</f>
        <v>22844961</v>
      </c>
      <c r="B4116" t="s">
        <v>4322</v>
      </c>
      <c r="C4116" t="s">
        <v>7</v>
      </c>
      <c r="D4116" t="str">
        <f>"561851"</f>
        <v>561851</v>
      </c>
      <c r="E4116" t="s">
        <v>4323</v>
      </c>
      <c r="F4116" t="s">
        <v>11</v>
      </c>
    </row>
    <row r="4117" spans="1:6" x14ac:dyDescent="0.25">
      <c r="A4117" t="str">
        <f>"65650271"</f>
        <v>65650271</v>
      </c>
      <c r="B4117" t="s">
        <v>4324</v>
      </c>
      <c r="C4117" t="s">
        <v>7</v>
      </c>
      <c r="D4117" t="str">
        <f>"561851"</f>
        <v>561851</v>
      </c>
      <c r="E4117" t="s">
        <v>4323</v>
      </c>
      <c r="F4117" t="s">
        <v>38</v>
      </c>
    </row>
    <row r="4118" spans="1:6" x14ac:dyDescent="0.25">
      <c r="A4118" t="str">
        <f>"17836174"</f>
        <v>17836174</v>
      </c>
      <c r="B4118" t="s">
        <v>4325</v>
      </c>
      <c r="C4118" t="s">
        <v>7</v>
      </c>
      <c r="D4118" t="str">
        <f>"561851"</f>
        <v>561851</v>
      </c>
      <c r="E4118" t="s">
        <v>4323</v>
      </c>
      <c r="F4118" t="s">
        <v>29</v>
      </c>
    </row>
    <row r="4119" spans="1:6" x14ac:dyDescent="0.25">
      <c r="A4119" t="str">
        <f>"02103311"</f>
        <v>02103311</v>
      </c>
      <c r="B4119" t="s">
        <v>4326</v>
      </c>
      <c r="C4119" t="s">
        <v>7</v>
      </c>
      <c r="D4119" t="str">
        <f>"561851"</f>
        <v>561851</v>
      </c>
      <c r="E4119" t="s">
        <v>4323</v>
      </c>
      <c r="F4119" t="s">
        <v>11</v>
      </c>
    </row>
    <row r="4120" spans="1:6" x14ac:dyDescent="0.25">
      <c r="A4120" t="str">
        <f>"62237349"</f>
        <v>62237349</v>
      </c>
      <c r="B4120" t="s">
        <v>4327</v>
      </c>
      <c r="C4120" t="s">
        <v>7</v>
      </c>
      <c r="D4120" t="str">
        <f>"561851"</f>
        <v>561851</v>
      </c>
      <c r="E4120" t="s">
        <v>4323</v>
      </c>
      <c r="F4120" t="s">
        <v>65</v>
      </c>
    </row>
    <row r="4121" spans="1:6" x14ac:dyDescent="0.25">
      <c r="A4121" t="str">
        <f>"46746854"</f>
        <v>46746854</v>
      </c>
      <c r="B4121" t="s">
        <v>4328</v>
      </c>
      <c r="C4121" t="s">
        <v>7</v>
      </c>
      <c r="D4121" t="str">
        <f t="shared" ref="D4121:D4130" si="132">"546593"</f>
        <v>546593</v>
      </c>
      <c r="E4121" t="s">
        <v>4329</v>
      </c>
      <c r="F4121" t="s">
        <v>11</v>
      </c>
    </row>
    <row r="4122" spans="1:6" x14ac:dyDescent="0.25">
      <c r="A4122" t="str">
        <f>"27048861"</f>
        <v>27048861</v>
      </c>
      <c r="B4122" t="s">
        <v>4330</v>
      </c>
      <c r="C4122" t="s">
        <v>78</v>
      </c>
      <c r="D4122" t="str">
        <f t="shared" si="132"/>
        <v>546593</v>
      </c>
      <c r="E4122" t="s">
        <v>4329</v>
      </c>
      <c r="F4122" t="s">
        <v>11</v>
      </c>
    </row>
    <row r="4123" spans="1:6" x14ac:dyDescent="0.25">
      <c r="A4123" t="str">
        <f>"46744622"</f>
        <v>46744622</v>
      </c>
      <c r="B4123" t="s">
        <v>4331</v>
      </c>
      <c r="C4123" t="s">
        <v>7</v>
      </c>
      <c r="D4123" t="str">
        <f t="shared" si="132"/>
        <v>546593</v>
      </c>
      <c r="E4123" t="s">
        <v>4329</v>
      </c>
      <c r="F4123" t="s">
        <v>9</v>
      </c>
    </row>
    <row r="4124" spans="1:6" x14ac:dyDescent="0.25">
      <c r="A4124" t="str">
        <f>"75104229"</f>
        <v>75104229</v>
      </c>
      <c r="B4124" t="s">
        <v>4332</v>
      </c>
      <c r="C4124" t="s">
        <v>7</v>
      </c>
      <c r="D4124" t="str">
        <f t="shared" si="132"/>
        <v>546593</v>
      </c>
      <c r="E4124" t="s">
        <v>4329</v>
      </c>
      <c r="F4124" t="s">
        <v>38</v>
      </c>
    </row>
    <row r="4125" spans="1:6" x14ac:dyDescent="0.25">
      <c r="A4125" t="str">
        <f>"17121914"</f>
        <v>17121914</v>
      </c>
      <c r="B4125" t="s">
        <v>4333</v>
      </c>
      <c r="C4125" t="s">
        <v>7</v>
      </c>
      <c r="D4125" t="str">
        <f t="shared" si="132"/>
        <v>546593</v>
      </c>
      <c r="E4125" t="s">
        <v>4329</v>
      </c>
      <c r="F4125" t="s">
        <v>11</v>
      </c>
    </row>
    <row r="4126" spans="1:6" x14ac:dyDescent="0.25">
      <c r="A4126" t="str">
        <f>"26643146"</f>
        <v>26643146</v>
      </c>
      <c r="B4126" t="s">
        <v>4334</v>
      </c>
      <c r="C4126" t="s">
        <v>7</v>
      </c>
      <c r="D4126" t="str">
        <f t="shared" si="132"/>
        <v>546593</v>
      </c>
      <c r="E4126" t="s">
        <v>4329</v>
      </c>
      <c r="F4126" t="s">
        <v>11</v>
      </c>
    </row>
    <row r="4127" spans="1:6" x14ac:dyDescent="0.25">
      <c r="A4127" t="str">
        <f>"08041423"</f>
        <v>08041423</v>
      </c>
      <c r="B4127" t="s">
        <v>4335</v>
      </c>
      <c r="C4127" t="s">
        <v>7</v>
      </c>
      <c r="D4127" t="str">
        <f t="shared" si="132"/>
        <v>546593</v>
      </c>
      <c r="E4127" t="s">
        <v>4329</v>
      </c>
      <c r="F4127" t="s">
        <v>29</v>
      </c>
    </row>
    <row r="4128" spans="1:6" x14ac:dyDescent="0.25">
      <c r="A4128" t="str">
        <f>"65635663"</f>
        <v>65635663</v>
      </c>
      <c r="B4128" t="s">
        <v>4336</v>
      </c>
      <c r="C4128" t="s">
        <v>15</v>
      </c>
      <c r="D4128" t="str">
        <f t="shared" si="132"/>
        <v>546593</v>
      </c>
      <c r="E4128" t="s">
        <v>4329</v>
      </c>
      <c r="F4128" t="s">
        <v>16</v>
      </c>
    </row>
    <row r="4129" spans="1:6" x14ac:dyDescent="0.25">
      <c r="A4129" t="str">
        <f>"06207804"</f>
        <v>06207804</v>
      </c>
      <c r="B4129" t="s">
        <v>4337</v>
      </c>
      <c r="C4129" t="s">
        <v>7</v>
      </c>
      <c r="D4129" t="str">
        <f t="shared" si="132"/>
        <v>546593</v>
      </c>
      <c r="E4129" t="s">
        <v>4329</v>
      </c>
      <c r="F4129" t="s">
        <v>11</v>
      </c>
    </row>
    <row r="4130" spans="1:6" x14ac:dyDescent="0.25">
      <c r="A4130" t="str">
        <f>"11919744"</f>
        <v>11919744</v>
      </c>
      <c r="B4130" t="s">
        <v>4338</v>
      </c>
      <c r="C4130" t="s">
        <v>15</v>
      </c>
      <c r="D4130" t="str">
        <f t="shared" si="132"/>
        <v>546593</v>
      </c>
      <c r="E4130" t="s">
        <v>4329</v>
      </c>
      <c r="F4130" t="s">
        <v>9</v>
      </c>
    </row>
    <row r="4131" spans="1:6" x14ac:dyDescent="0.25">
      <c r="A4131" t="str">
        <f>"19094001"</f>
        <v>19094001</v>
      </c>
      <c r="B4131" t="s">
        <v>4339</v>
      </c>
      <c r="C4131" t="s">
        <v>7</v>
      </c>
      <c r="D4131" t="str">
        <f t="shared" ref="D4131:D4140" si="133">"563731"</f>
        <v>563731</v>
      </c>
      <c r="E4131" t="s">
        <v>4340</v>
      </c>
      <c r="F4131" t="s">
        <v>62</v>
      </c>
    </row>
    <row r="4132" spans="1:6" x14ac:dyDescent="0.25">
      <c r="A4132" t="str">
        <f>"02501627"</f>
        <v>02501627</v>
      </c>
      <c r="B4132" t="s">
        <v>4341</v>
      </c>
      <c r="C4132" t="s">
        <v>7</v>
      </c>
      <c r="D4132" t="str">
        <f t="shared" si="133"/>
        <v>563731</v>
      </c>
      <c r="E4132" t="s">
        <v>4340</v>
      </c>
      <c r="F4132" t="s">
        <v>11</v>
      </c>
    </row>
    <row r="4133" spans="1:6" x14ac:dyDescent="0.25">
      <c r="A4133" t="str">
        <f>"06855741"</f>
        <v>06855741</v>
      </c>
      <c r="B4133" t="s">
        <v>4342</v>
      </c>
      <c r="C4133" t="s">
        <v>7</v>
      </c>
      <c r="D4133" t="str">
        <f t="shared" si="133"/>
        <v>563731</v>
      </c>
      <c r="E4133" t="s">
        <v>4340</v>
      </c>
      <c r="F4133" t="s">
        <v>865</v>
      </c>
    </row>
    <row r="4134" spans="1:6" x14ac:dyDescent="0.25">
      <c r="A4134" t="str">
        <f>"22670530"</f>
        <v>22670530</v>
      </c>
      <c r="B4134" t="s">
        <v>4343</v>
      </c>
      <c r="C4134" t="s">
        <v>7</v>
      </c>
      <c r="D4134" t="str">
        <f t="shared" si="133"/>
        <v>563731</v>
      </c>
      <c r="E4134" t="s">
        <v>4340</v>
      </c>
      <c r="F4134" t="s">
        <v>11</v>
      </c>
    </row>
    <row r="4135" spans="1:6" x14ac:dyDescent="0.25">
      <c r="A4135" t="str">
        <f>"27043428"</f>
        <v>27043428</v>
      </c>
      <c r="B4135" t="s">
        <v>4344</v>
      </c>
      <c r="C4135" t="s">
        <v>7</v>
      </c>
      <c r="D4135" t="str">
        <f t="shared" si="133"/>
        <v>563731</v>
      </c>
      <c r="E4135" t="s">
        <v>4340</v>
      </c>
      <c r="F4135" t="s">
        <v>424</v>
      </c>
    </row>
    <row r="4136" spans="1:6" x14ac:dyDescent="0.25">
      <c r="A4136" t="str">
        <f>"43254411"</f>
        <v>43254411</v>
      </c>
      <c r="B4136" t="s">
        <v>4345</v>
      </c>
      <c r="C4136" t="s">
        <v>15</v>
      </c>
      <c r="D4136" t="str">
        <f t="shared" si="133"/>
        <v>563731</v>
      </c>
      <c r="E4136" t="s">
        <v>4340</v>
      </c>
      <c r="F4136" t="s">
        <v>16</v>
      </c>
    </row>
    <row r="4137" spans="1:6" x14ac:dyDescent="0.25">
      <c r="A4137" t="str">
        <f>"06570259"</f>
        <v>06570259</v>
      </c>
      <c r="B4137" t="s">
        <v>4346</v>
      </c>
      <c r="C4137" t="s">
        <v>7</v>
      </c>
      <c r="D4137" t="str">
        <f t="shared" si="133"/>
        <v>563731</v>
      </c>
      <c r="E4137" t="s">
        <v>4340</v>
      </c>
      <c r="F4137" t="s">
        <v>11</v>
      </c>
    </row>
    <row r="4138" spans="1:6" x14ac:dyDescent="0.25">
      <c r="A4138" t="str">
        <f>"26580641"</f>
        <v>26580641</v>
      </c>
      <c r="B4138" t="s">
        <v>4347</v>
      </c>
      <c r="C4138" t="s">
        <v>7</v>
      </c>
      <c r="D4138" t="str">
        <f t="shared" si="133"/>
        <v>563731</v>
      </c>
      <c r="E4138" t="s">
        <v>4340</v>
      </c>
      <c r="F4138" t="s">
        <v>139</v>
      </c>
    </row>
    <row r="4139" spans="1:6" x14ac:dyDescent="0.25">
      <c r="A4139" t="str">
        <f>"22772235"</f>
        <v>22772235</v>
      </c>
      <c r="B4139" t="s">
        <v>4348</v>
      </c>
      <c r="C4139" t="s">
        <v>7</v>
      </c>
      <c r="D4139" t="str">
        <f t="shared" si="133"/>
        <v>563731</v>
      </c>
      <c r="E4139" t="s">
        <v>4340</v>
      </c>
      <c r="F4139" t="s">
        <v>13</v>
      </c>
    </row>
    <row r="4140" spans="1:6" x14ac:dyDescent="0.25">
      <c r="A4140" t="str">
        <f>"43254373"</f>
        <v>43254373</v>
      </c>
      <c r="B4140" t="s">
        <v>4349</v>
      </c>
      <c r="C4140" t="s">
        <v>7</v>
      </c>
      <c r="D4140" t="str">
        <f t="shared" si="133"/>
        <v>563731</v>
      </c>
      <c r="E4140" t="s">
        <v>4340</v>
      </c>
      <c r="F4140" t="s">
        <v>9</v>
      </c>
    </row>
    <row r="4141" spans="1:6" x14ac:dyDescent="0.25">
      <c r="A4141" t="str">
        <f>"70150486"</f>
        <v>70150486</v>
      </c>
      <c r="B4141" t="s">
        <v>4350</v>
      </c>
      <c r="C4141" t="s">
        <v>7</v>
      </c>
      <c r="D4141" t="str">
        <f t="shared" ref="D4141:D4156" si="134">"577341"</f>
        <v>577341</v>
      </c>
      <c r="E4141" t="s">
        <v>4351</v>
      </c>
      <c r="F4141" t="s">
        <v>11</v>
      </c>
    </row>
    <row r="4142" spans="1:6" x14ac:dyDescent="0.25">
      <c r="A4142" t="str">
        <f>"70836744"</f>
        <v>70836744</v>
      </c>
      <c r="B4142" t="s">
        <v>4352</v>
      </c>
      <c r="C4142" t="s">
        <v>15</v>
      </c>
      <c r="D4142" t="str">
        <f t="shared" si="134"/>
        <v>577341</v>
      </c>
      <c r="E4142" t="s">
        <v>4351</v>
      </c>
      <c r="F4142" t="s">
        <v>29</v>
      </c>
    </row>
    <row r="4143" spans="1:6" x14ac:dyDescent="0.25">
      <c r="A4143" t="str">
        <f>"45599220"</f>
        <v>45599220</v>
      </c>
      <c r="B4143" t="s">
        <v>4353</v>
      </c>
      <c r="C4143" t="s">
        <v>37</v>
      </c>
      <c r="D4143" t="str">
        <f t="shared" si="134"/>
        <v>577341</v>
      </c>
      <c r="E4143" t="s">
        <v>4351</v>
      </c>
      <c r="F4143" t="s">
        <v>38</v>
      </c>
    </row>
    <row r="4144" spans="1:6" x14ac:dyDescent="0.25">
      <c r="A4144" t="str">
        <f>"03306739"</f>
        <v>03306739</v>
      </c>
      <c r="B4144" t="s">
        <v>4354</v>
      </c>
      <c r="C4144" t="s">
        <v>7</v>
      </c>
      <c r="D4144" t="str">
        <f t="shared" si="134"/>
        <v>577341</v>
      </c>
      <c r="E4144" t="s">
        <v>4351</v>
      </c>
      <c r="F4144" t="s">
        <v>139</v>
      </c>
    </row>
    <row r="4145" spans="1:6" x14ac:dyDescent="0.25">
      <c r="A4145" t="str">
        <f>"03294081"</f>
        <v>03294081</v>
      </c>
      <c r="B4145" t="s">
        <v>4355</v>
      </c>
      <c r="C4145" t="s">
        <v>7</v>
      </c>
      <c r="D4145" t="str">
        <f t="shared" si="134"/>
        <v>577341</v>
      </c>
      <c r="E4145" t="s">
        <v>4351</v>
      </c>
      <c r="F4145" t="s">
        <v>38</v>
      </c>
    </row>
    <row r="4146" spans="1:6" x14ac:dyDescent="0.25">
      <c r="A4146" t="str">
        <f>"49296353"</f>
        <v>49296353</v>
      </c>
      <c r="B4146" t="s">
        <v>4356</v>
      </c>
      <c r="C4146" t="s">
        <v>325</v>
      </c>
      <c r="D4146" t="str">
        <f t="shared" si="134"/>
        <v>577341</v>
      </c>
      <c r="E4146" t="s">
        <v>4351</v>
      </c>
      <c r="F4146" t="s">
        <v>11</v>
      </c>
    </row>
    <row r="4147" spans="1:6" x14ac:dyDescent="0.25">
      <c r="A4147" t="str">
        <f>"01900960"</f>
        <v>01900960</v>
      </c>
      <c r="B4147" t="s">
        <v>4357</v>
      </c>
      <c r="C4147" t="s">
        <v>7</v>
      </c>
      <c r="D4147" t="str">
        <f t="shared" si="134"/>
        <v>577341</v>
      </c>
      <c r="E4147" t="s">
        <v>4351</v>
      </c>
      <c r="F4147" t="s">
        <v>29</v>
      </c>
    </row>
    <row r="4148" spans="1:6" x14ac:dyDescent="0.25">
      <c r="A4148" t="str">
        <f>"62012851"</f>
        <v>62012851</v>
      </c>
      <c r="B4148" t="s">
        <v>4358</v>
      </c>
      <c r="C4148" t="s">
        <v>15</v>
      </c>
      <c r="D4148" t="str">
        <f t="shared" si="134"/>
        <v>577341</v>
      </c>
      <c r="E4148" t="s">
        <v>4351</v>
      </c>
      <c r="F4148" t="s">
        <v>16</v>
      </c>
    </row>
    <row r="4149" spans="1:6" x14ac:dyDescent="0.25">
      <c r="A4149" t="str">
        <f>"22734198"</f>
        <v>22734198</v>
      </c>
      <c r="B4149" t="s">
        <v>4359</v>
      </c>
      <c r="C4149" t="s">
        <v>7</v>
      </c>
      <c r="D4149" t="str">
        <f t="shared" si="134"/>
        <v>577341</v>
      </c>
      <c r="E4149" t="s">
        <v>4351</v>
      </c>
      <c r="F4149" t="s">
        <v>2839</v>
      </c>
    </row>
    <row r="4150" spans="1:6" x14ac:dyDescent="0.25">
      <c r="A4150" t="str">
        <f>"13967592"</f>
        <v>13967592</v>
      </c>
      <c r="B4150" t="s">
        <v>4360</v>
      </c>
      <c r="C4150" t="s">
        <v>7</v>
      </c>
      <c r="D4150" t="str">
        <f t="shared" si="134"/>
        <v>577341</v>
      </c>
      <c r="E4150" t="s">
        <v>4351</v>
      </c>
      <c r="F4150" t="s">
        <v>11</v>
      </c>
    </row>
    <row r="4151" spans="1:6" x14ac:dyDescent="0.25">
      <c r="A4151" t="str">
        <f>"05966442"</f>
        <v>05966442</v>
      </c>
      <c r="B4151" t="s">
        <v>4361</v>
      </c>
      <c r="C4151" t="s">
        <v>7</v>
      </c>
      <c r="D4151" t="str">
        <f t="shared" si="134"/>
        <v>577341</v>
      </c>
      <c r="E4151" t="s">
        <v>4351</v>
      </c>
      <c r="F4151" t="s">
        <v>11</v>
      </c>
    </row>
    <row r="4152" spans="1:6" x14ac:dyDescent="0.25">
      <c r="A4152" t="str">
        <f>"23236655"</f>
        <v>23236655</v>
      </c>
      <c r="B4152" t="s">
        <v>4362</v>
      </c>
      <c r="C4152" t="s">
        <v>7</v>
      </c>
      <c r="D4152" t="str">
        <f t="shared" si="134"/>
        <v>577341</v>
      </c>
      <c r="E4152" t="s">
        <v>4351</v>
      </c>
      <c r="F4152" t="s">
        <v>1685</v>
      </c>
    </row>
    <row r="4153" spans="1:6" x14ac:dyDescent="0.25">
      <c r="A4153" t="str">
        <f>"01697978"</f>
        <v>01697978</v>
      </c>
      <c r="B4153" t="s">
        <v>4363</v>
      </c>
      <c r="C4153" t="s">
        <v>7</v>
      </c>
      <c r="D4153" t="str">
        <f t="shared" si="134"/>
        <v>577341</v>
      </c>
      <c r="E4153" t="s">
        <v>4351</v>
      </c>
      <c r="F4153" t="s">
        <v>11</v>
      </c>
    </row>
    <row r="4154" spans="1:6" x14ac:dyDescent="0.25">
      <c r="A4154" t="str">
        <f>"45597634"</f>
        <v>45597634</v>
      </c>
      <c r="B4154" t="s">
        <v>4364</v>
      </c>
      <c r="C4154" t="s">
        <v>7</v>
      </c>
      <c r="D4154" t="str">
        <f t="shared" si="134"/>
        <v>577341</v>
      </c>
      <c r="E4154" t="s">
        <v>4351</v>
      </c>
      <c r="F4154" t="s">
        <v>65</v>
      </c>
    </row>
    <row r="4155" spans="1:6" x14ac:dyDescent="0.25">
      <c r="A4155" t="str">
        <f>"22895876"</f>
        <v>22895876</v>
      </c>
      <c r="B4155" t="s">
        <v>4365</v>
      </c>
      <c r="C4155" t="s">
        <v>7</v>
      </c>
      <c r="D4155" t="str">
        <f t="shared" si="134"/>
        <v>577341</v>
      </c>
      <c r="E4155" t="s">
        <v>4351</v>
      </c>
      <c r="F4155" t="s">
        <v>137</v>
      </c>
    </row>
    <row r="4156" spans="1:6" x14ac:dyDescent="0.25">
      <c r="A4156" t="str">
        <f>"22759646"</f>
        <v>22759646</v>
      </c>
      <c r="B4156" t="s">
        <v>4366</v>
      </c>
      <c r="C4156" t="s">
        <v>7</v>
      </c>
      <c r="D4156" t="str">
        <f t="shared" si="134"/>
        <v>577341</v>
      </c>
      <c r="E4156" t="s">
        <v>4351</v>
      </c>
      <c r="F4156" t="s">
        <v>18</v>
      </c>
    </row>
    <row r="4157" spans="1:6" x14ac:dyDescent="0.25">
      <c r="A4157" t="str">
        <f>"68954760"</f>
        <v>68954760</v>
      </c>
      <c r="B4157" t="s">
        <v>4367</v>
      </c>
      <c r="C4157" t="s">
        <v>7</v>
      </c>
      <c r="D4157" t="str">
        <f t="shared" ref="D4157:D4201" si="135">"564265"</f>
        <v>564265</v>
      </c>
      <c r="E4157" t="s">
        <v>4368</v>
      </c>
      <c r="F4157" t="s">
        <v>65</v>
      </c>
    </row>
    <row r="4158" spans="1:6" x14ac:dyDescent="0.25">
      <c r="A4158" t="str">
        <f>"26607735"</f>
        <v>26607735</v>
      </c>
      <c r="B4158" t="s">
        <v>4369</v>
      </c>
      <c r="C4158" t="s">
        <v>7</v>
      </c>
      <c r="D4158" t="str">
        <f t="shared" si="135"/>
        <v>564265</v>
      </c>
      <c r="E4158" t="s">
        <v>4368</v>
      </c>
      <c r="F4158" t="s">
        <v>11</v>
      </c>
    </row>
    <row r="4159" spans="1:6" x14ac:dyDescent="0.25">
      <c r="A4159" t="str">
        <f>"66110271"</f>
        <v>66110271</v>
      </c>
      <c r="B4159" t="s">
        <v>4370</v>
      </c>
      <c r="C4159" t="s">
        <v>15</v>
      </c>
      <c r="D4159" t="str">
        <f t="shared" si="135"/>
        <v>564265</v>
      </c>
      <c r="E4159" t="s">
        <v>4368</v>
      </c>
      <c r="F4159" t="s">
        <v>29</v>
      </c>
    </row>
    <row r="4160" spans="1:6" x14ac:dyDescent="0.25">
      <c r="A4160" t="str">
        <f>"64040712"</f>
        <v>64040712</v>
      </c>
      <c r="B4160" t="s">
        <v>4371</v>
      </c>
      <c r="C4160" t="s">
        <v>15</v>
      </c>
      <c r="D4160" t="str">
        <f t="shared" si="135"/>
        <v>564265</v>
      </c>
      <c r="E4160" t="s">
        <v>4368</v>
      </c>
      <c r="F4160" t="s">
        <v>29</v>
      </c>
    </row>
    <row r="4161" spans="1:6" x14ac:dyDescent="0.25">
      <c r="A4161" t="str">
        <f>"44224061"</f>
        <v>44224061</v>
      </c>
      <c r="B4161" t="s">
        <v>4372</v>
      </c>
      <c r="C4161" t="s">
        <v>43</v>
      </c>
      <c r="D4161" t="str">
        <f t="shared" si="135"/>
        <v>564265</v>
      </c>
      <c r="E4161" t="s">
        <v>4368</v>
      </c>
      <c r="F4161" t="s">
        <v>44</v>
      </c>
    </row>
    <row r="4162" spans="1:6" x14ac:dyDescent="0.25">
      <c r="A4162" t="str">
        <f>"26579324"</f>
        <v>26579324</v>
      </c>
      <c r="B4162" t="s">
        <v>4373</v>
      </c>
      <c r="C4162" t="s">
        <v>7</v>
      </c>
      <c r="D4162" t="str">
        <f t="shared" si="135"/>
        <v>564265</v>
      </c>
      <c r="E4162" t="s">
        <v>4368</v>
      </c>
      <c r="F4162" t="s">
        <v>11</v>
      </c>
    </row>
    <row r="4163" spans="1:6" x14ac:dyDescent="0.25">
      <c r="A4163" t="str">
        <f>"69411191"</f>
        <v>69411191</v>
      </c>
      <c r="B4163" t="s">
        <v>4374</v>
      </c>
      <c r="C4163" t="s">
        <v>37</v>
      </c>
      <c r="D4163" t="str">
        <f t="shared" si="135"/>
        <v>564265</v>
      </c>
      <c r="E4163" t="s">
        <v>4368</v>
      </c>
      <c r="F4163" t="s">
        <v>38</v>
      </c>
    </row>
    <row r="4164" spans="1:6" x14ac:dyDescent="0.25">
      <c r="A4164" t="str">
        <f>"72755148"</f>
        <v>72755148</v>
      </c>
      <c r="B4164" t="s">
        <v>4375</v>
      </c>
      <c r="C4164" t="s">
        <v>15</v>
      </c>
      <c r="D4164" t="str">
        <f t="shared" si="135"/>
        <v>564265</v>
      </c>
      <c r="E4164" t="s">
        <v>4368</v>
      </c>
      <c r="F4164" t="s">
        <v>29</v>
      </c>
    </row>
    <row r="4165" spans="1:6" x14ac:dyDescent="0.25">
      <c r="A4165" t="str">
        <f>"22817077"</f>
        <v>22817077</v>
      </c>
      <c r="B4165" t="s">
        <v>4376</v>
      </c>
      <c r="C4165" t="s">
        <v>7</v>
      </c>
      <c r="D4165" t="str">
        <f t="shared" si="135"/>
        <v>564265</v>
      </c>
      <c r="E4165" t="s">
        <v>4368</v>
      </c>
      <c r="F4165" t="s">
        <v>18</v>
      </c>
    </row>
    <row r="4166" spans="1:6" x14ac:dyDescent="0.25">
      <c r="A4166" t="str">
        <f>"08848254"</f>
        <v>08848254</v>
      </c>
      <c r="B4166" t="s">
        <v>4377</v>
      </c>
      <c r="C4166" t="s">
        <v>27</v>
      </c>
      <c r="D4166" t="str">
        <f t="shared" si="135"/>
        <v>564265</v>
      </c>
      <c r="E4166" t="s">
        <v>4368</v>
      </c>
      <c r="F4166" t="s">
        <v>1646</v>
      </c>
    </row>
    <row r="4167" spans="1:6" x14ac:dyDescent="0.25">
      <c r="A4167" t="str">
        <f>"27024253"</f>
        <v>27024253</v>
      </c>
      <c r="B4167" t="s">
        <v>4378</v>
      </c>
      <c r="C4167" t="s">
        <v>7</v>
      </c>
      <c r="D4167" t="str">
        <f t="shared" si="135"/>
        <v>564265</v>
      </c>
      <c r="E4167" t="s">
        <v>4368</v>
      </c>
      <c r="F4167" t="s">
        <v>11</v>
      </c>
    </row>
    <row r="4168" spans="1:6" x14ac:dyDescent="0.25">
      <c r="A4168" t="str">
        <f>"66111871"</f>
        <v>66111871</v>
      </c>
      <c r="B4168" t="s">
        <v>4379</v>
      </c>
      <c r="C4168" t="s">
        <v>7</v>
      </c>
      <c r="D4168" t="str">
        <f t="shared" si="135"/>
        <v>564265</v>
      </c>
      <c r="E4168" t="s">
        <v>4368</v>
      </c>
      <c r="F4168" t="s">
        <v>38</v>
      </c>
    </row>
    <row r="4169" spans="1:6" x14ac:dyDescent="0.25">
      <c r="A4169" t="str">
        <f>"46746404"</f>
        <v>46746404</v>
      </c>
      <c r="B4169" t="s">
        <v>4380</v>
      </c>
      <c r="C4169" t="s">
        <v>7</v>
      </c>
      <c r="D4169" t="str">
        <f t="shared" si="135"/>
        <v>564265</v>
      </c>
      <c r="E4169" t="s">
        <v>4368</v>
      </c>
      <c r="F4169" t="s">
        <v>38</v>
      </c>
    </row>
    <row r="4170" spans="1:6" x14ac:dyDescent="0.25">
      <c r="A4170" t="str">
        <f>"21592535"</f>
        <v>21592535</v>
      </c>
      <c r="B4170" t="s">
        <v>4381</v>
      </c>
      <c r="C4170" t="s">
        <v>124</v>
      </c>
      <c r="D4170" t="str">
        <f t="shared" si="135"/>
        <v>564265</v>
      </c>
      <c r="E4170" t="s">
        <v>4368</v>
      </c>
      <c r="F4170" t="s">
        <v>11</v>
      </c>
    </row>
    <row r="4171" spans="1:6" x14ac:dyDescent="0.25">
      <c r="A4171" t="str">
        <f>"22606793"</f>
        <v>22606793</v>
      </c>
      <c r="B4171" t="s">
        <v>4382</v>
      </c>
      <c r="C4171" t="s">
        <v>7</v>
      </c>
      <c r="D4171" t="str">
        <f t="shared" si="135"/>
        <v>564265</v>
      </c>
      <c r="E4171" t="s">
        <v>4368</v>
      </c>
      <c r="F4171" t="s">
        <v>62</v>
      </c>
    </row>
    <row r="4172" spans="1:6" x14ac:dyDescent="0.25">
      <c r="A4172" t="str">
        <f>"66112753"</f>
        <v>66112753</v>
      </c>
      <c r="B4172" t="s">
        <v>4383</v>
      </c>
      <c r="C4172" t="s">
        <v>7</v>
      </c>
      <c r="D4172" t="str">
        <f t="shared" si="135"/>
        <v>564265</v>
      </c>
      <c r="E4172" t="s">
        <v>4368</v>
      </c>
      <c r="F4172" t="s">
        <v>11</v>
      </c>
    </row>
    <row r="4173" spans="1:6" x14ac:dyDescent="0.25">
      <c r="A4173" t="str">
        <f>"22692801"</f>
        <v>22692801</v>
      </c>
      <c r="B4173" t="s">
        <v>4384</v>
      </c>
      <c r="C4173" t="s">
        <v>7</v>
      </c>
      <c r="D4173" t="str">
        <f t="shared" si="135"/>
        <v>564265</v>
      </c>
      <c r="E4173" t="s">
        <v>4368</v>
      </c>
      <c r="F4173" t="s">
        <v>11</v>
      </c>
    </row>
    <row r="4174" spans="1:6" x14ac:dyDescent="0.25">
      <c r="A4174" t="str">
        <f>"46745017"</f>
        <v>46745017</v>
      </c>
      <c r="B4174" t="s">
        <v>4385</v>
      </c>
      <c r="C4174" t="s">
        <v>7</v>
      </c>
      <c r="D4174" t="str">
        <f t="shared" si="135"/>
        <v>564265</v>
      </c>
      <c r="E4174" t="s">
        <v>4368</v>
      </c>
      <c r="F4174" t="s">
        <v>11</v>
      </c>
    </row>
    <row r="4175" spans="1:6" x14ac:dyDescent="0.25">
      <c r="A4175" t="str">
        <f>"27053601"</f>
        <v>27053601</v>
      </c>
      <c r="B4175" t="s">
        <v>4386</v>
      </c>
      <c r="C4175" t="s">
        <v>7</v>
      </c>
      <c r="D4175" t="str">
        <f t="shared" si="135"/>
        <v>564265</v>
      </c>
      <c r="E4175" t="s">
        <v>4368</v>
      </c>
      <c r="F4175" t="s">
        <v>18</v>
      </c>
    </row>
    <row r="4176" spans="1:6" x14ac:dyDescent="0.25">
      <c r="A4176" t="str">
        <f>"19570252"</f>
        <v>19570252</v>
      </c>
      <c r="B4176" t="s">
        <v>4387</v>
      </c>
      <c r="C4176" t="s">
        <v>7</v>
      </c>
      <c r="D4176" t="str">
        <f t="shared" si="135"/>
        <v>564265</v>
      </c>
      <c r="E4176" t="s">
        <v>4368</v>
      </c>
      <c r="F4176" t="s">
        <v>137</v>
      </c>
    </row>
    <row r="4177" spans="1:6" x14ac:dyDescent="0.25">
      <c r="A4177" t="str">
        <f>"22901892"</f>
        <v>22901892</v>
      </c>
      <c r="B4177" t="s">
        <v>4388</v>
      </c>
      <c r="C4177" t="s">
        <v>7</v>
      </c>
      <c r="D4177" t="str">
        <f t="shared" si="135"/>
        <v>564265</v>
      </c>
      <c r="E4177" t="s">
        <v>4368</v>
      </c>
      <c r="F4177" t="s">
        <v>11</v>
      </c>
    </row>
    <row r="4178" spans="1:6" x14ac:dyDescent="0.25">
      <c r="A4178" t="str">
        <f>"46749217"</f>
        <v>46749217</v>
      </c>
      <c r="B4178" t="s">
        <v>4389</v>
      </c>
      <c r="C4178" t="s">
        <v>43</v>
      </c>
      <c r="D4178" t="str">
        <f t="shared" si="135"/>
        <v>564265</v>
      </c>
      <c r="E4178" t="s">
        <v>4368</v>
      </c>
      <c r="F4178" t="s">
        <v>44</v>
      </c>
    </row>
    <row r="4179" spans="1:6" x14ac:dyDescent="0.25">
      <c r="A4179" t="str">
        <f>"46749209"</f>
        <v>46749209</v>
      </c>
      <c r="B4179" t="s">
        <v>4390</v>
      </c>
      <c r="C4179" t="s">
        <v>43</v>
      </c>
      <c r="D4179" t="str">
        <f t="shared" si="135"/>
        <v>564265</v>
      </c>
      <c r="E4179" t="s">
        <v>4368</v>
      </c>
      <c r="F4179" t="s">
        <v>44</v>
      </c>
    </row>
    <row r="4180" spans="1:6" x14ac:dyDescent="0.25">
      <c r="A4180" t="str">
        <f>"46745572"</f>
        <v>46745572</v>
      </c>
      <c r="B4180" t="s">
        <v>4391</v>
      </c>
      <c r="C4180" t="s">
        <v>43</v>
      </c>
      <c r="D4180" t="str">
        <f t="shared" si="135"/>
        <v>564265</v>
      </c>
      <c r="E4180" t="s">
        <v>4368</v>
      </c>
      <c r="F4180" t="s">
        <v>44</v>
      </c>
    </row>
    <row r="4181" spans="1:6" x14ac:dyDescent="0.25">
      <c r="A4181" t="str">
        <f>"65082346"</f>
        <v>65082346</v>
      </c>
      <c r="B4181" t="s">
        <v>4392</v>
      </c>
      <c r="C4181" t="s">
        <v>43</v>
      </c>
      <c r="D4181" t="str">
        <f t="shared" si="135"/>
        <v>564265</v>
      </c>
      <c r="E4181" t="s">
        <v>4368</v>
      </c>
      <c r="F4181" t="s">
        <v>44</v>
      </c>
    </row>
    <row r="4182" spans="1:6" x14ac:dyDescent="0.25">
      <c r="A4182" t="str">
        <f>"73635669"</f>
        <v>73635669</v>
      </c>
      <c r="B4182" t="s">
        <v>4393</v>
      </c>
      <c r="C4182" t="s">
        <v>43</v>
      </c>
      <c r="D4182" t="str">
        <f t="shared" si="135"/>
        <v>564265</v>
      </c>
      <c r="E4182" t="s">
        <v>4368</v>
      </c>
      <c r="F4182" t="s">
        <v>44</v>
      </c>
    </row>
    <row r="4183" spans="1:6" x14ac:dyDescent="0.25">
      <c r="A4183" t="str">
        <f>"26524325"</f>
        <v>26524325</v>
      </c>
      <c r="B4183" t="s">
        <v>4394</v>
      </c>
      <c r="C4183" t="s">
        <v>7</v>
      </c>
      <c r="D4183" t="str">
        <f t="shared" si="135"/>
        <v>564265</v>
      </c>
      <c r="E4183" t="s">
        <v>4368</v>
      </c>
      <c r="F4183" t="s">
        <v>11</v>
      </c>
    </row>
    <row r="4184" spans="1:6" x14ac:dyDescent="0.25">
      <c r="A4184" t="str">
        <f>"49111892"</f>
        <v>49111892</v>
      </c>
      <c r="B4184" t="s">
        <v>4395</v>
      </c>
      <c r="C4184" t="s">
        <v>15</v>
      </c>
      <c r="D4184" t="str">
        <f t="shared" si="135"/>
        <v>564265</v>
      </c>
      <c r="E4184" t="s">
        <v>4368</v>
      </c>
      <c r="F4184" t="s">
        <v>16</v>
      </c>
    </row>
    <row r="4185" spans="1:6" x14ac:dyDescent="0.25">
      <c r="A4185" t="str">
        <f>"49111787"</f>
        <v>49111787</v>
      </c>
      <c r="B4185" t="s">
        <v>4396</v>
      </c>
      <c r="C4185" t="s">
        <v>15</v>
      </c>
      <c r="D4185" t="str">
        <f t="shared" si="135"/>
        <v>564265</v>
      </c>
      <c r="E4185" t="s">
        <v>4368</v>
      </c>
      <c r="F4185" t="s">
        <v>16</v>
      </c>
    </row>
    <row r="4186" spans="1:6" x14ac:dyDescent="0.25">
      <c r="A4186" t="str">
        <f>"49111761"</f>
        <v>49111761</v>
      </c>
      <c r="B4186" t="s">
        <v>4397</v>
      </c>
      <c r="C4186" t="s">
        <v>15</v>
      </c>
      <c r="D4186" t="str">
        <f t="shared" si="135"/>
        <v>564265</v>
      </c>
      <c r="E4186" t="s">
        <v>4368</v>
      </c>
      <c r="F4186" t="s">
        <v>16</v>
      </c>
    </row>
    <row r="4187" spans="1:6" x14ac:dyDescent="0.25">
      <c r="A4187" t="str">
        <f>"02494655"</f>
        <v>02494655</v>
      </c>
      <c r="B4187" t="s">
        <v>4398</v>
      </c>
      <c r="C4187" t="s">
        <v>7</v>
      </c>
      <c r="D4187" t="str">
        <f t="shared" si="135"/>
        <v>564265</v>
      </c>
      <c r="E4187" t="s">
        <v>4368</v>
      </c>
      <c r="F4187" t="s">
        <v>62</v>
      </c>
    </row>
    <row r="4188" spans="1:6" x14ac:dyDescent="0.25">
      <c r="A4188" t="str">
        <f>"22732616"</f>
        <v>22732616</v>
      </c>
      <c r="B4188" t="s">
        <v>4399</v>
      </c>
      <c r="C4188" t="s">
        <v>20</v>
      </c>
      <c r="D4188" t="str">
        <f t="shared" si="135"/>
        <v>564265</v>
      </c>
      <c r="E4188" t="s">
        <v>4368</v>
      </c>
      <c r="F4188" t="s">
        <v>21</v>
      </c>
    </row>
    <row r="4189" spans="1:6" x14ac:dyDescent="0.25">
      <c r="A4189" t="str">
        <f>"03476154"</f>
        <v>03476154</v>
      </c>
      <c r="B4189" t="s">
        <v>4400</v>
      </c>
      <c r="C4189" t="s">
        <v>7</v>
      </c>
      <c r="D4189" t="str">
        <f t="shared" si="135"/>
        <v>564265</v>
      </c>
      <c r="E4189" t="s">
        <v>4368</v>
      </c>
      <c r="F4189" t="s">
        <v>11</v>
      </c>
    </row>
    <row r="4190" spans="1:6" x14ac:dyDescent="0.25">
      <c r="A4190" t="str">
        <f>"07430965"</f>
        <v>07430965</v>
      </c>
      <c r="B4190" t="s">
        <v>4401</v>
      </c>
      <c r="C4190" t="s">
        <v>7</v>
      </c>
      <c r="D4190" t="str">
        <f t="shared" si="135"/>
        <v>564265</v>
      </c>
      <c r="E4190" t="s">
        <v>4368</v>
      </c>
      <c r="F4190" t="s">
        <v>11</v>
      </c>
    </row>
    <row r="4191" spans="1:6" x14ac:dyDescent="0.25">
      <c r="A4191" t="str">
        <f>"22743472"</f>
        <v>22743472</v>
      </c>
      <c r="B4191" t="s">
        <v>4402</v>
      </c>
      <c r="C4191" t="s">
        <v>7</v>
      </c>
      <c r="D4191" t="str">
        <f t="shared" si="135"/>
        <v>564265</v>
      </c>
      <c r="E4191" t="s">
        <v>4368</v>
      </c>
      <c r="F4191" t="s">
        <v>11</v>
      </c>
    </row>
    <row r="4192" spans="1:6" x14ac:dyDescent="0.25">
      <c r="A4192" t="str">
        <f>"09626395"</f>
        <v>09626395</v>
      </c>
      <c r="B4192" t="s">
        <v>4403</v>
      </c>
      <c r="C4192" t="s">
        <v>7</v>
      </c>
      <c r="D4192" t="str">
        <f t="shared" si="135"/>
        <v>564265</v>
      </c>
      <c r="E4192" t="s">
        <v>4368</v>
      </c>
      <c r="F4192" t="s">
        <v>62</v>
      </c>
    </row>
    <row r="4193" spans="1:6" x14ac:dyDescent="0.25">
      <c r="A4193" t="str">
        <f>"03668061"</f>
        <v>03668061</v>
      </c>
      <c r="B4193" t="s">
        <v>4404</v>
      </c>
      <c r="C4193" t="s">
        <v>7</v>
      </c>
      <c r="D4193" t="str">
        <f t="shared" si="135"/>
        <v>564265</v>
      </c>
      <c r="E4193" t="s">
        <v>4368</v>
      </c>
      <c r="F4193" t="s">
        <v>35</v>
      </c>
    </row>
    <row r="4194" spans="1:6" x14ac:dyDescent="0.25">
      <c r="A4194" t="str">
        <f>"02494591"</f>
        <v>02494591</v>
      </c>
      <c r="B4194" t="s">
        <v>4405</v>
      </c>
      <c r="C4194" t="s">
        <v>7</v>
      </c>
      <c r="D4194" t="str">
        <f t="shared" si="135"/>
        <v>564265</v>
      </c>
      <c r="E4194" t="s">
        <v>4368</v>
      </c>
      <c r="F4194" t="s">
        <v>18</v>
      </c>
    </row>
    <row r="4195" spans="1:6" x14ac:dyDescent="0.25">
      <c r="A4195" t="str">
        <f>"14289954"</f>
        <v>14289954</v>
      </c>
      <c r="B4195" t="s">
        <v>4406</v>
      </c>
      <c r="C4195" t="s">
        <v>27</v>
      </c>
      <c r="D4195" t="str">
        <f t="shared" si="135"/>
        <v>564265</v>
      </c>
      <c r="E4195" t="s">
        <v>4368</v>
      </c>
      <c r="F4195" t="s">
        <v>40</v>
      </c>
    </row>
    <row r="4196" spans="1:6" x14ac:dyDescent="0.25">
      <c r="A4196" t="str">
        <f>"46744673"</f>
        <v>46744673</v>
      </c>
      <c r="B4196" t="s">
        <v>4407</v>
      </c>
      <c r="C4196" t="s">
        <v>7</v>
      </c>
      <c r="D4196" t="str">
        <f t="shared" si="135"/>
        <v>564265</v>
      </c>
      <c r="E4196" t="s">
        <v>4368</v>
      </c>
      <c r="F4196" t="s">
        <v>9</v>
      </c>
    </row>
    <row r="4197" spans="1:6" x14ac:dyDescent="0.25">
      <c r="A4197" t="str">
        <f>"22758038"</f>
        <v>22758038</v>
      </c>
      <c r="B4197" t="s">
        <v>4408</v>
      </c>
      <c r="C4197" t="s">
        <v>7</v>
      </c>
      <c r="D4197" t="str">
        <f t="shared" si="135"/>
        <v>564265</v>
      </c>
      <c r="E4197" t="s">
        <v>4368</v>
      </c>
      <c r="F4197" t="s">
        <v>11</v>
      </c>
    </row>
    <row r="4198" spans="1:6" x14ac:dyDescent="0.25">
      <c r="A4198" t="str">
        <f>"09954414"</f>
        <v>09954414</v>
      </c>
      <c r="B4198" t="s">
        <v>4409</v>
      </c>
      <c r="C4198" t="s">
        <v>7</v>
      </c>
      <c r="D4198" t="str">
        <f t="shared" si="135"/>
        <v>564265</v>
      </c>
      <c r="E4198" t="s">
        <v>4368</v>
      </c>
      <c r="F4198" t="s">
        <v>29</v>
      </c>
    </row>
    <row r="4199" spans="1:6" x14ac:dyDescent="0.25">
      <c r="A4199" t="str">
        <f>"70819122"</f>
        <v>70819122</v>
      </c>
      <c r="B4199" t="s">
        <v>4410</v>
      </c>
      <c r="C4199" t="s">
        <v>15</v>
      </c>
      <c r="D4199" t="str">
        <f t="shared" si="135"/>
        <v>564265</v>
      </c>
      <c r="E4199" t="s">
        <v>4368</v>
      </c>
      <c r="F4199" t="s">
        <v>29</v>
      </c>
    </row>
    <row r="4200" spans="1:6" x14ac:dyDescent="0.25">
      <c r="A4200" t="str">
        <f>"68455852"</f>
        <v>68455852</v>
      </c>
      <c r="B4200" t="s">
        <v>4411</v>
      </c>
      <c r="C4200" t="s">
        <v>15</v>
      </c>
      <c r="D4200" t="str">
        <f t="shared" si="135"/>
        <v>564265</v>
      </c>
      <c r="E4200" t="s">
        <v>4368</v>
      </c>
      <c r="F4200" t="s">
        <v>29</v>
      </c>
    </row>
    <row r="4201" spans="1:6" x14ac:dyDescent="0.25">
      <c r="A4201" t="str">
        <f>"01706217"</f>
        <v>01706217</v>
      </c>
      <c r="B4201" t="s">
        <v>4412</v>
      </c>
      <c r="C4201" t="s">
        <v>20</v>
      </c>
      <c r="D4201" t="str">
        <f t="shared" si="135"/>
        <v>564265</v>
      </c>
      <c r="E4201" t="s">
        <v>4368</v>
      </c>
      <c r="F4201" t="s">
        <v>21</v>
      </c>
    </row>
    <row r="4202" spans="1:6" x14ac:dyDescent="0.25">
      <c r="A4202" t="str">
        <f>"46750614"</f>
        <v>46750614</v>
      </c>
      <c r="B4202" t="s">
        <v>4413</v>
      </c>
      <c r="C4202" t="s">
        <v>7</v>
      </c>
      <c r="D4202" t="str">
        <f t="shared" ref="D4202:D4233" si="136">"561860"</f>
        <v>561860</v>
      </c>
      <c r="E4202" t="s">
        <v>4414</v>
      </c>
      <c r="F4202" t="s">
        <v>11</v>
      </c>
    </row>
    <row r="4203" spans="1:6" x14ac:dyDescent="0.25">
      <c r="A4203" t="str">
        <f>"22851691"</f>
        <v>22851691</v>
      </c>
      <c r="B4203" t="s">
        <v>4415</v>
      </c>
      <c r="C4203" t="s">
        <v>7</v>
      </c>
      <c r="D4203" t="str">
        <f t="shared" si="136"/>
        <v>561860</v>
      </c>
      <c r="E4203" t="s">
        <v>4414</v>
      </c>
      <c r="F4203" t="s">
        <v>11</v>
      </c>
    </row>
    <row r="4204" spans="1:6" x14ac:dyDescent="0.25">
      <c r="A4204" t="str">
        <f>"19313195"</f>
        <v>19313195</v>
      </c>
      <c r="B4204" t="s">
        <v>4416</v>
      </c>
      <c r="C4204" t="s">
        <v>15</v>
      </c>
      <c r="D4204" t="str">
        <f t="shared" si="136"/>
        <v>561860</v>
      </c>
      <c r="E4204" t="s">
        <v>4414</v>
      </c>
      <c r="F4204" t="s">
        <v>139</v>
      </c>
    </row>
    <row r="4205" spans="1:6" x14ac:dyDescent="0.25">
      <c r="A4205" t="str">
        <f>"44225776"</f>
        <v>44225776</v>
      </c>
      <c r="B4205" t="s">
        <v>4417</v>
      </c>
      <c r="C4205" t="s">
        <v>15</v>
      </c>
      <c r="D4205" t="str">
        <f t="shared" si="136"/>
        <v>561860</v>
      </c>
      <c r="E4205" t="s">
        <v>4414</v>
      </c>
      <c r="F4205" t="s">
        <v>29</v>
      </c>
    </row>
    <row r="4206" spans="1:6" x14ac:dyDescent="0.25">
      <c r="A4206" t="str">
        <f>"26568365"</f>
        <v>26568365</v>
      </c>
      <c r="B4206" t="s">
        <v>4418</v>
      </c>
      <c r="C4206" t="s">
        <v>7</v>
      </c>
      <c r="D4206" t="str">
        <f t="shared" si="136"/>
        <v>561860</v>
      </c>
      <c r="E4206" t="s">
        <v>4414</v>
      </c>
      <c r="F4206" t="s">
        <v>29</v>
      </c>
    </row>
    <row r="4207" spans="1:6" x14ac:dyDescent="0.25">
      <c r="A4207" t="str">
        <f>"01795821"</f>
        <v>01795821</v>
      </c>
      <c r="B4207" t="s">
        <v>4419</v>
      </c>
      <c r="C4207" t="s">
        <v>7</v>
      </c>
      <c r="D4207" t="str">
        <f t="shared" si="136"/>
        <v>561860</v>
      </c>
      <c r="E4207" t="s">
        <v>4414</v>
      </c>
      <c r="F4207" t="s">
        <v>62</v>
      </c>
    </row>
    <row r="4208" spans="1:6" x14ac:dyDescent="0.25">
      <c r="A4208" t="str">
        <f>"28554833"</f>
        <v>28554833</v>
      </c>
      <c r="B4208" t="s">
        <v>4420</v>
      </c>
      <c r="C4208" t="s">
        <v>7</v>
      </c>
      <c r="D4208" t="str">
        <f t="shared" si="136"/>
        <v>561860</v>
      </c>
      <c r="E4208" t="s">
        <v>4414</v>
      </c>
      <c r="F4208" t="s">
        <v>424</v>
      </c>
    </row>
    <row r="4209" spans="1:6" x14ac:dyDescent="0.25">
      <c r="A4209" t="str">
        <f>"06851193"</f>
        <v>06851193</v>
      </c>
      <c r="B4209" t="s">
        <v>4421</v>
      </c>
      <c r="C4209" t="s">
        <v>7</v>
      </c>
      <c r="D4209" t="str">
        <f t="shared" si="136"/>
        <v>561860</v>
      </c>
      <c r="E4209" t="s">
        <v>4414</v>
      </c>
      <c r="F4209" t="s">
        <v>29</v>
      </c>
    </row>
    <row r="4210" spans="1:6" x14ac:dyDescent="0.25">
      <c r="A4210" t="str">
        <f>"04266293"</f>
        <v>04266293</v>
      </c>
      <c r="B4210" t="s">
        <v>4422</v>
      </c>
      <c r="C4210" t="s">
        <v>7</v>
      </c>
      <c r="D4210" t="str">
        <f t="shared" si="136"/>
        <v>561860</v>
      </c>
      <c r="E4210" t="s">
        <v>4414</v>
      </c>
      <c r="F4210" t="s">
        <v>11</v>
      </c>
    </row>
    <row r="4211" spans="1:6" x14ac:dyDescent="0.25">
      <c r="A4211" t="str">
        <f>"22670777"</f>
        <v>22670777</v>
      </c>
      <c r="B4211" t="s">
        <v>4423</v>
      </c>
      <c r="C4211" t="s">
        <v>7</v>
      </c>
      <c r="D4211" t="str">
        <f t="shared" si="136"/>
        <v>561860</v>
      </c>
      <c r="E4211" t="s">
        <v>4414</v>
      </c>
      <c r="F4211" t="s">
        <v>11</v>
      </c>
    </row>
    <row r="4212" spans="1:6" x14ac:dyDescent="0.25">
      <c r="A4212" t="str">
        <f>"14246121"</f>
        <v>14246121</v>
      </c>
      <c r="B4212" t="s">
        <v>4424</v>
      </c>
      <c r="C4212" t="s">
        <v>7</v>
      </c>
      <c r="D4212" t="str">
        <f t="shared" si="136"/>
        <v>561860</v>
      </c>
      <c r="E4212" t="s">
        <v>4414</v>
      </c>
      <c r="F4212" t="s">
        <v>62</v>
      </c>
    </row>
    <row r="4213" spans="1:6" x14ac:dyDescent="0.25">
      <c r="A4213" t="str">
        <f>"22731369"</f>
        <v>22731369</v>
      </c>
      <c r="B4213" t="s">
        <v>4425</v>
      </c>
      <c r="C4213" t="s">
        <v>7</v>
      </c>
      <c r="D4213" t="str">
        <f t="shared" si="136"/>
        <v>561860</v>
      </c>
      <c r="E4213" t="s">
        <v>4414</v>
      </c>
      <c r="F4213" t="s">
        <v>11</v>
      </c>
    </row>
    <row r="4214" spans="1:6" x14ac:dyDescent="0.25">
      <c r="A4214" t="str">
        <f>"26995841"</f>
        <v>26995841</v>
      </c>
      <c r="B4214" t="s">
        <v>4426</v>
      </c>
      <c r="C4214" t="s">
        <v>7</v>
      </c>
      <c r="D4214" t="str">
        <f t="shared" si="136"/>
        <v>561860</v>
      </c>
      <c r="E4214" t="s">
        <v>4414</v>
      </c>
      <c r="F4214" t="s">
        <v>11</v>
      </c>
    </row>
    <row r="4215" spans="1:6" x14ac:dyDescent="0.25">
      <c r="A4215" t="str">
        <f>"70810184"</f>
        <v>70810184</v>
      </c>
      <c r="B4215" t="s">
        <v>4427</v>
      </c>
      <c r="C4215" t="s">
        <v>7</v>
      </c>
      <c r="D4215" t="str">
        <f t="shared" si="136"/>
        <v>561860</v>
      </c>
      <c r="E4215" t="s">
        <v>4414</v>
      </c>
      <c r="F4215" t="s">
        <v>137</v>
      </c>
    </row>
    <row r="4216" spans="1:6" x14ac:dyDescent="0.25">
      <c r="A4216" t="str">
        <f>"26526841"</f>
        <v>26526841</v>
      </c>
      <c r="B4216" t="s">
        <v>4428</v>
      </c>
      <c r="C4216" t="s">
        <v>7</v>
      </c>
      <c r="D4216" t="str">
        <f t="shared" si="136"/>
        <v>561860</v>
      </c>
      <c r="E4216" t="s">
        <v>4414</v>
      </c>
      <c r="F4216" t="s">
        <v>11</v>
      </c>
    </row>
    <row r="4217" spans="1:6" x14ac:dyDescent="0.25">
      <c r="A4217" t="str">
        <f>"75125269"</f>
        <v>75125269</v>
      </c>
      <c r="B4217" t="s">
        <v>4429</v>
      </c>
      <c r="C4217" t="s">
        <v>15</v>
      </c>
      <c r="D4217" t="str">
        <f t="shared" si="136"/>
        <v>561860</v>
      </c>
      <c r="E4217" t="s">
        <v>4414</v>
      </c>
      <c r="F4217" t="s">
        <v>29</v>
      </c>
    </row>
    <row r="4218" spans="1:6" x14ac:dyDescent="0.25">
      <c r="A4218" t="str">
        <f>"65650069"</f>
        <v>65650069</v>
      </c>
      <c r="B4218" t="s">
        <v>4430</v>
      </c>
      <c r="C4218" t="s">
        <v>15</v>
      </c>
      <c r="D4218" t="str">
        <f t="shared" si="136"/>
        <v>561860</v>
      </c>
      <c r="E4218" t="s">
        <v>4414</v>
      </c>
      <c r="F4218" t="s">
        <v>29</v>
      </c>
    </row>
    <row r="4219" spans="1:6" x14ac:dyDescent="0.25">
      <c r="A4219" t="str">
        <f>"00482731"</f>
        <v>00482731</v>
      </c>
      <c r="B4219" t="s">
        <v>4431</v>
      </c>
      <c r="C4219" t="s">
        <v>15</v>
      </c>
      <c r="D4219" t="str">
        <f t="shared" si="136"/>
        <v>561860</v>
      </c>
      <c r="E4219" t="s">
        <v>4414</v>
      </c>
      <c r="F4219" t="s">
        <v>29</v>
      </c>
    </row>
    <row r="4220" spans="1:6" x14ac:dyDescent="0.25">
      <c r="A4220" t="str">
        <f>"04537246"</f>
        <v>04537246</v>
      </c>
      <c r="B4220" t="s">
        <v>4432</v>
      </c>
      <c r="C4220" t="s">
        <v>15</v>
      </c>
      <c r="D4220" t="str">
        <f t="shared" si="136"/>
        <v>561860</v>
      </c>
      <c r="E4220" t="s">
        <v>4414</v>
      </c>
      <c r="F4220" t="s">
        <v>29</v>
      </c>
    </row>
    <row r="4221" spans="1:6" x14ac:dyDescent="0.25">
      <c r="A4221" t="str">
        <f>"68420765"</f>
        <v>68420765</v>
      </c>
      <c r="B4221" t="s">
        <v>4433</v>
      </c>
      <c r="C4221" t="s">
        <v>15</v>
      </c>
      <c r="D4221" t="str">
        <f t="shared" si="136"/>
        <v>561860</v>
      </c>
      <c r="E4221" t="s">
        <v>4414</v>
      </c>
      <c r="F4221" t="s">
        <v>35</v>
      </c>
    </row>
    <row r="4222" spans="1:6" x14ac:dyDescent="0.25">
      <c r="A4222" t="str">
        <f>"11965185"</f>
        <v>11965185</v>
      </c>
      <c r="B4222" t="s">
        <v>4434</v>
      </c>
      <c r="C4222" t="s">
        <v>7</v>
      </c>
      <c r="D4222" t="str">
        <f t="shared" si="136"/>
        <v>561860</v>
      </c>
      <c r="E4222" t="s">
        <v>4414</v>
      </c>
      <c r="F4222" t="s">
        <v>139</v>
      </c>
    </row>
    <row r="4223" spans="1:6" x14ac:dyDescent="0.25">
      <c r="A4223" t="str">
        <f>"49864131"</f>
        <v>49864131</v>
      </c>
      <c r="B4223" t="s">
        <v>4435</v>
      </c>
      <c r="C4223" t="s">
        <v>7</v>
      </c>
      <c r="D4223" t="str">
        <f t="shared" si="136"/>
        <v>561860</v>
      </c>
      <c r="E4223" t="s">
        <v>4414</v>
      </c>
      <c r="F4223" t="s">
        <v>328</v>
      </c>
    </row>
    <row r="4224" spans="1:6" x14ac:dyDescent="0.25">
      <c r="A4224" t="str">
        <f>"01547445"</f>
        <v>01547445</v>
      </c>
      <c r="B4224" t="s">
        <v>4436</v>
      </c>
      <c r="C4224" t="s">
        <v>7</v>
      </c>
      <c r="D4224" t="str">
        <f t="shared" si="136"/>
        <v>561860</v>
      </c>
      <c r="E4224" t="s">
        <v>4414</v>
      </c>
      <c r="F4224" t="s">
        <v>29</v>
      </c>
    </row>
    <row r="4225" spans="1:6" x14ac:dyDescent="0.25">
      <c r="A4225" t="str">
        <f>"65650077"</f>
        <v>65650077</v>
      </c>
      <c r="B4225" t="s">
        <v>4437</v>
      </c>
      <c r="C4225" t="s">
        <v>7</v>
      </c>
      <c r="D4225" t="str">
        <f t="shared" si="136"/>
        <v>561860</v>
      </c>
      <c r="E4225" t="s">
        <v>4414</v>
      </c>
      <c r="F4225" t="s">
        <v>35</v>
      </c>
    </row>
    <row r="4226" spans="1:6" x14ac:dyDescent="0.25">
      <c r="A4226" t="str">
        <f>"14153319"</f>
        <v>14153319</v>
      </c>
      <c r="B4226" t="s">
        <v>4438</v>
      </c>
      <c r="C4226" t="s">
        <v>7</v>
      </c>
      <c r="D4226" t="str">
        <f t="shared" si="136"/>
        <v>561860</v>
      </c>
      <c r="E4226" t="s">
        <v>4414</v>
      </c>
      <c r="F4226" t="s">
        <v>62</v>
      </c>
    </row>
    <row r="4227" spans="1:6" x14ac:dyDescent="0.25">
      <c r="A4227" t="str">
        <f>"22826891"</f>
        <v>22826891</v>
      </c>
      <c r="B4227" t="s">
        <v>4439</v>
      </c>
      <c r="C4227" t="s">
        <v>7</v>
      </c>
      <c r="D4227" t="str">
        <f t="shared" si="136"/>
        <v>561860</v>
      </c>
      <c r="E4227" t="s">
        <v>4414</v>
      </c>
      <c r="F4227" t="s">
        <v>35</v>
      </c>
    </row>
    <row r="4228" spans="1:6" x14ac:dyDescent="0.25">
      <c r="A4228" t="str">
        <f>"22673971"</f>
        <v>22673971</v>
      </c>
      <c r="B4228" t="s">
        <v>4440</v>
      </c>
      <c r="C4228" t="s">
        <v>7</v>
      </c>
      <c r="D4228" t="str">
        <f t="shared" si="136"/>
        <v>561860</v>
      </c>
      <c r="E4228" t="s">
        <v>4414</v>
      </c>
      <c r="F4228" t="s">
        <v>11</v>
      </c>
    </row>
    <row r="4229" spans="1:6" x14ac:dyDescent="0.25">
      <c r="A4229" t="str">
        <f>"26600382"</f>
        <v>26600382</v>
      </c>
      <c r="B4229" t="s">
        <v>4441</v>
      </c>
      <c r="C4229" t="s">
        <v>7</v>
      </c>
      <c r="D4229" t="str">
        <f t="shared" si="136"/>
        <v>561860</v>
      </c>
      <c r="E4229" t="s">
        <v>4414</v>
      </c>
      <c r="F4229" t="s">
        <v>11</v>
      </c>
    </row>
    <row r="4230" spans="1:6" x14ac:dyDescent="0.25">
      <c r="A4230" t="str">
        <f>"22825894"</f>
        <v>22825894</v>
      </c>
      <c r="B4230" t="s">
        <v>4442</v>
      </c>
      <c r="C4230" t="s">
        <v>7</v>
      </c>
      <c r="D4230" t="str">
        <f t="shared" si="136"/>
        <v>561860</v>
      </c>
      <c r="E4230" t="s">
        <v>4414</v>
      </c>
      <c r="F4230" t="s">
        <v>11</v>
      </c>
    </row>
    <row r="4231" spans="1:6" x14ac:dyDescent="0.25">
      <c r="A4231" t="str">
        <f>"02368803"</f>
        <v>02368803</v>
      </c>
      <c r="B4231" t="s">
        <v>4443</v>
      </c>
      <c r="C4231" t="s">
        <v>7</v>
      </c>
      <c r="D4231" t="str">
        <f t="shared" si="136"/>
        <v>561860</v>
      </c>
      <c r="E4231" t="s">
        <v>4414</v>
      </c>
      <c r="F4231" t="s">
        <v>35</v>
      </c>
    </row>
    <row r="4232" spans="1:6" x14ac:dyDescent="0.25">
      <c r="A4232" t="str">
        <f>"11812435"</f>
        <v>11812435</v>
      </c>
      <c r="B4232" t="s">
        <v>4444</v>
      </c>
      <c r="C4232" t="s">
        <v>7</v>
      </c>
      <c r="D4232" t="str">
        <f t="shared" si="136"/>
        <v>561860</v>
      </c>
      <c r="E4232" t="s">
        <v>4414</v>
      </c>
      <c r="F4232" t="s">
        <v>35</v>
      </c>
    </row>
    <row r="4233" spans="1:6" x14ac:dyDescent="0.25">
      <c r="A4233" t="str">
        <f>"26986680"</f>
        <v>26986680</v>
      </c>
      <c r="B4233" t="s">
        <v>4445</v>
      </c>
      <c r="C4233" t="s">
        <v>7</v>
      </c>
      <c r="D4233" t="str">
        <f t="shared" si="136"/>
        <v>561860</v>
      </c>
      <c r="E4233" t="s">
        <v>4414</v>
      </c>
      <c r="F4233" t="s">
        <v>35</v>
      </c>
    </row>
    <row r="4234" spans="1:6" x14ac:dyDescent="0.25">
      <c r="A4234" t="str">
        <f>"06287255"</f>
        <v>06287255</v>
      </c>
      <c r="B4234" t="s">
        <v>4446</v>
      </c>
      <c r="C4234" t="s">
        <v>7</v>
      </c>
      <c r="D4234" t="str">
        <f t="shared" ref="D4234:D4265" si="137">"561860"</f>
        <v>561860</v>
      </c>
      <c r="E4234" t="s">
        <v>4414</v>
      </c>
      <c r="F4234" t="s">
        <v>139</v>
      </c>
    </row>
    <row r="4235" spans="1:6" x14ac:dyDescent="0.25">
      <c r="A4235" t="str">
        <f>"06039952"</f>
        <v>06039952</v>
      </c>
      <c r="B4235" t="s">
        <v>4447</v>
      </c>
      <c r="C4235" t="s">
        <v>7</v>
      </c>
      <c r="D4235" t="str">
        <f t="shared" si="137"/>
        <v>561860</v>
      </c>
      <c r="E4235" t="s">
        <v>4414</v>
      </c>
      <c r="F4235" t="s">
        <v>35</v>
      </c>
    </row>
    <row r="4236" spans="1:6" x14ac:dyDescent="0.25">
      <c r="A4236" t="str">
        <f>"26996014"</f>
        <v>26996014</v>
      </c>
      <c r="B4236" t="s">
        <v>4448</v>
      </c>
      <c r="C4236" t="s">
        <v>7</v>
      </c>
      <c r="D4236" t="str">
        <f t="shared" si="137"/>
        <v>561860</v>
      </c>
      <c r="E4236" t="s">
        <v>4414</v>
      </c>
      <c r="F4236" t="s">
        <v>11</v>
      </c>
    </row>
    <row r="4237" spans="1:6" x14ac:dyDescent="0.25">
      <c r="A4237" t="str">
        <f>"68299605"</f>
        <v>68299605</v>
      </c>
      <c r="B4237" t="s">
        <v>4449</v>
      </c>
      <c r="C4237" t="s">
        <v>15</v>
      </c>
      <c r="D4237" t="str">
        <f t="shared" si="137"/>
        <v>561860</v>
      </c>
      <c r="E4237" t="s">
        <v>4414</v>
      </c>
      <c r="F4237" t="s">
        <v>9</v>
      </c>
    </row>
    <row r="4238" spans="1:6" x14ac:dyDescent="0.25">
      <c r="A4238" t="str">
        <f>"62237128"</f>
        <v>62237128</v>
      </c>
      <c r="B4238" t="s">
        <v>4450</v>
      </c>
      <c r="C4238" t="s">
        <v>15</v>
      </c>
      <c r="D4238" t="str">
        <f t="shared" si="137"/>
        <v>561860</v>
      </c>
      <c r="E4238" t="s">
        <v>4414</v>
      </c>
      <c r="F4238" t="s">
        <v>139</v>
      </c>
    </row>
    <row r="4239" spans="1:6" x14ac:dyDescent="0.25">
      <c r="A4239" t="str">
        <f>"70855439"</f>
        <v>70855439</v>
      </c>
      <c r="B4239" t="s">
        <v>4451</v>
      </c>
      <c r="C4239" t="s">
        <v>7</v>
      </c>
      <c r="D4239" t="str">
        <f t="shared" si="137"/>
        <v>561860</v>
      </c>
      <c r="E4239" t="s">
        <v>4414</v>
      </c>
      <c r="F4239" t="s">
        <v>11</v>
      </c>
    </row>
    <row r="4240" spans="1:6" x14ac:dyDescent="0.25">
      <c r="A4240" t="str">
        <f>"07527250"</f>
        <v>07527250</v>
      </c>
      <c r="B4240" t="s">
        <v>4452</v>
      </c>
      <c r="C4240" t="s">
        <v>7</v>
      </c>
      <c r="D4240" t="str">
        <f t="shared" si="137"/>
        <v>561860</v>
      </c>
      <c r="E4240" t="s">
        <v>4414</v>
      </c>
      <c r="F4240" t="s">
        <v>35</v>
      </c>
    </row>
    <row r="4241" spans="1:6" x14ac:dyDescent="0.25">
      <c r="A4241" t="str">
        <f>"49864378"</f>
        <v>49864378</v>
      </c>
      <c r="B4241" t="s">
        <v>4453</v>
      </c>
      <c r="C4241" t="s">
        <v>7</v>
      </c>
      <c r="D4241" t="str">
        <f t="shared" si="137"/>
        <v>561860</v>
      </c>
      <c r="E4241" t="s">
        <v>4414</v>
      </c>
      <c r="F4241" t="s">
        <v>29</v>
      </c>
    </row>
    <row r="4242" spans="1:6" x14ac:dyDescent="0.25">
      <c r="A4242" t="str">
        <f>"26662558"</f>
        <v>26662558</v>
      </c>
      <c r="B4242" t="s">
        <v>4454</v>
      </c>
      <c r="C4242" t="s">
        <v>7</v>
      </c>
      <c r="D4242" t="str">
        <f t="shared" si="137"/>
        <v>561860</v>
      </c>
      <c r="E4242" t="s">
        <v>4414</v>
      </c>
      <c r="F4242" t="s">
        <v>11</v>
      </c>
    </row>
    <row r="4243" spans="1:6" x14ac:dyDescent="0.25">
      <c r="A4243" t="str">
        <f>"22814710"</f>
        <v>22814710</v>
      </c>
      <c r="B4243" t="s">
        <v>4455</v>
      </c>
      <c r="C4243" t="s">
        <v>78</v>
      </c>
      <c r="D4243" t="str">
        <f t="shared" si="137"/>
        <v>561860</v>
      </c>
      <c r="E4243" t="s">
        <v>4414</v>
      </c>
      <c r="F4243" t="s">
        <v>11</v>
      </c>
    </row>
    <row r="4244" spans="1:6" x14ac:dyDescent="0.25">
      <c r="A4244" t="str">
        <f>"69291209"</f>
        <v>69291209</v>
      </c>
      <c r="B4244" t="s">
        <v>4456</v>
      </c>
      <c r="C4244" t="s">
        <v>7</v>
      </c>
      <c r="D4244" t="str">
        <f t="shared" si="137"/>
        <v>561860</v>
      </c>
      <c r="E4244" t="s">
        <v>4414</v>
      </c>
      <c r="F4244" t="s">
        <v>35</v>
      </c>
    </row>
    <row r="4245" spans="1:6" x14ac:dyDescent="0.25">
      <c r="A4245" t="str">
        <f>"27054357"</f>
        <v>27054357</v>
      </c>
      <c r="B4245" t="s">
        <v>4457</v>
      </c>
      <c r="C4245" t="s">
        <v>7</v>
      </c>
      <c r="D4245" t="str">
        <f t="shared" si="137"/>
        <v>561860</v>
      </c>
      <c r="E4245" t="s">
        <v>4414</v>
      </c>
      <c r="F4245" t="s">
        <v>139</v>
      </c>
    </row>
    <row r="4246" spans="1:6" x14ac:dyDescent="0.25">
      <c r="A4246" t="str">
        <f>"22833901"</f>
        <v>22833901</v>
      </c>
      <c r="B4246" t="s">
        <v>4458</v>
      </c>
      <c r="C4246" t="s">
        <v>7</v>
      </c>
      <c r="D4246" t="str">
        <f t="shared" si="137"/>
        <v>561860</v>
      </c>
      <c r="E4246" t="s">
        <v>4414</v>
      </c>
      <c r="F4246" t="s">
        <v>11</v>
      </c>
    </row>
    <row r="4247" spans="1:6" x14ac:dyDescent="0.25">
      <c r="A4247" t="str">
        <f>"05060991"</f>
        <v>05060991</v>
      </c>
      <c r="B4247" t="s">
        <v>4459</v>
      </c>
      <c r="C4247" t="s">
        <v>15</v>
      </c>
      <c r="D4247" t="str">
        <f t="shared" si="137"/>
        <v>561860</v>
      </c>
      <c r="E4247" t="s">
        <v>4414</v>
      </c>
      <c r="F4247" t="s">
        <v>65</v>
      </c>
    </row>
    <row r="4248" spans="1:6" x14ac:dyDescent="0.25">
      <c r="A4248" t="str">
        <f>"70839638"</f>
        <v>70839638</v>
      </c>
      <c r="B4248" t="s">
        <v>4460</v>
      </c>
      <c r="C4248" t="s">
        <v>7</v>
      </c>
      <c r="D4248" t="str">
        <f t="shared" si="137"/>
        <v>561860</v>
      </c>
      <c r="E4248" t="s">
        <v>4414</v>
      </c>
      <c r="F4248" t="s">
        <v>11</v>
      </c>
    </row>
    <row r="4249" spans="1:6" x14ac:dyDescent="0.25">
      <c r="A4249" t="str">
        <f>"28554221"</f>
        <v>28554221</v>
      </c>
      <c r="B4249" t="s">
        <v>4461</v>
      </c>
      <c r="C4249" t="s">
        <v>7</v>
      </c>
      <c r="D4249" t="str">
        <f t="shared" si="137"/>
        <v>561860</v>
      </c>
      <c r="E4249" t="s">
        <v>4414</v>
      </c>
      <c r="F4249" t="s">
        <v>11</v>
      </c>
    </row>
    <row r="4250" spans="1:6" x14ac:dyDescent="0.25">
      <c r="A4250" t="str">
        <f>"09617108"</f>
        <v>09617108</v>
      </c>
      <c r="B4250" t="s">
        <v>4462</v>
      </c>
      <c r="C4250" t="s">
        <v>7</v>
      </c>
      <c r="D4250" t="str">
        <f t="shared" si="137"/>
        <v>561860</v>
      </c>
      <c r="E4250" t="s">
        <v>4414</v>
      </c>
      <c r="F4250" t="s">
        <v>11</v>
      </c>
    </row>
    <row r="4251" spans="1:6" x14ac:dyDescent="0.25">
      <c r="A4251" t="str">
        <f>"01190172"</f>
        <v>01190172</v>
      </c>
      <c r="B4251" t="s">
        <v>4463</v>
      </c>
      <c r="C4251" t="s">
        <v>7</v>
      </c>
      <c r="D4251" t="str">
        <f t="shared" si="137"/>
        <v>561860</v>
      </c>
      <c r="E4251" t="s">
        <v>4414</v>
      </c>
      <c r="F4251" t="s">
        <v>11</v>
      </c>
    </row>
    <row r="4252" spans="1:6" x14ac:dyDescent="0.25">
      <c r="A4252" t="str">
        <f>"64045757"</f>
        <v>64045757</v>
      </c>
      <c r="B4252" t="s">
        <v>4464</v>
      </c>
      <c r="C4252" t="s">
        <v>7</v>
      </c>
      <c r="D4252" t="str">
        <f t="shared" si="137"/>
        <v>561860</v>
      </c>
      <c r="E4252" t="s">
        <v>4414</v>
      </c>
      <c r="F4252" t="s">
        <v>9</v>
      </c>
    </row>
    <row r="4253" spans="1:6" x14ac:dyDescent="0.25">
      <c r="A4253" t="str">
        <f>"27026159"</f>
        <v>27026159</v>
      </c>
      <c r="B4253" t="s">
        <v>4465</v>
      </c>
      <c r="C4253" t="s">
        <v>7</v>
      </c>
      <c r="D4253" t="str">
        <f t="shared" si="137"/>
        <v>561860</v>
      </c>
      <c r="E4253" t="s">
        <v>4414</v>
      </c>
      <c r="F4253" t="s">
        <v>11</v>
      </c>
    </row>
    <row r="4254" spans="1:6" x14ac:dyDescent="0.25">
      <c r="A4254" t="str">
        <f>"72742232"</f>
        <v>72742232</v>
      </c>
      <c r="B4254" t="s">
        <v>4466</v>
      </c>
      <c r="C4254" t="s">
        <v>15</v>
      </c>
      <c r="D4254" t="str">
        <f t="shared" si="137"/>
        <v>561860</v>
      </c>
      <c r="E4254" t="s">
        <v>4414</v>
      </c>
      <c r="F4254" t="s">
        <v>35</v>
      </c>
    </row>
    <row r="4255" spans="1:6" x14ac:dyDescent="0.25">
      <c r="A4255" t="str">
        <f>"46750819"</f>
        <v>46750819</v>
      </c>
      <c r="B4255" t="s">
        <v>4467</v>
      </c>
      <c r="C4255" t="s">
        <v>7</v>
      </c>
      <c r="D4255" t="str">
        <f t="shared" si="137"/>
        <v>561860</v>
      </c>
      <c r="E4255" t="s">
        <v>4414</v>
      </c>
      <c r="F4255" t="s">
        <v>38</v>
      </c>
    </row>
    <row r="4256" spans="1:6" x14ac:dyDescent="0.25">
      <c r="A4256" t="str">
        <f>"65650247"</f>
        <v>65650247</v>
      </c>
      <c r="B4256" t="s">
        <v>4468</v>
      </c>
      <c r="C4256" t="s">
        <v>7</v>
      </c>
      <c r="D4256" t="str">
        <f t="shared" si="137"/>
        <v>561860</v>
      </c>
      <c r="E4256" t="s">
        <v>4414</v>
      </c>
      <c r="F4256" t="s">
        <v>38</v>
      </c>
    </row>
    <row r="4257" spans="1:6" x14ac:dyDescent="0.25">
      <c r="A4257" t="str">
        <f>"48282618"</f>
        <v>48282618</v>
      </c>
      <c r="B4257" t="s">
        <v>4469</v>
      </c>
      <c r="C4257" t="s">
        <v>7</v>
      </c>
      <c r="D4257" t="str">
        <f t="shared" si="137"/>
        <v>561860</v>
      </c>
      <c r="E4257" t="s">
        <v>4414</v>
      </c>
      <c r="F4257" t="s">
        <v>38</v>
      </c>
    </row>
    <row r="4258" spans="1:6" x14ac:dyDescent="0.25">
      <c r="A4258" t="str">
        <f>"63778467"</f>
        <v>63778467</v>
      </c>
      <c r="B4258" t="s">
        <v>4470</v>
      </c>
      <c r="C4258" t="s">
        <v>43</v>
      </c>
      <c r="D4258" t="str">
        <f t="shared" si="137"/>
        <v>561860</v>
      </c>
      <c r="E4258" t="s">
        <v>4414</v>
      </c>
      <c r="F4258" t="s">
        <v>44</v>
      </c>
    </row>
    <row r="4259" spans="1:6" x14ac:dyDescent="0.25">
      <c r="A4259" t="str">
        <f>"22733337"</f>
        <v>22733337</v>
      </c>
      <c r="B4259" t="s">
        <v>4471</v>
      </c>
      <c r="C4259" t="s">
        <v>7</v>
      </c>
      <c r="D4259" t="str">
        <f t="shared" si="137"/>
        <v>561860</v>
      </c>
      <c r="E4259" t="s">
        <v>4414</v>
      </c>
      <c r="F4259" t="s">
        <v>11</v>
      </c>
    </row>
    <row r="4260" spans="1:6" x14ac:dyDescent="0.25">
      <c r="A4260" t="str">
        <f>"02020548"</f>
        <v>02020548</v>
      </c>
      <c r="B4260" t="s">
        <v>4472</v>
      </c>
      <c r="C4260" t="s">
        <v>7</v>
      </c>
      <c r="D4260" t="str">
        <f t="shared" si="137"/>
        <v>561860</v>
      </c>
      <c r="E4260" t="s">
        <v>4414</v>
      </c>
      <c r="F4260" t="s">
        <v>11</v>
      </c>
    </row>
    <row r="4261" spans="1:6" x14ac:dyDescent="0.25">
      <c r="A4261" t="str">
        <f>"27278794"</f>
        <v>27278794</v>
      </c>
      <c r="B4261" t="s">
        <v>4473</v>
      </c>
      <c r="C4261" t="s">
        <v>124</v>
      </c>
      <c r="D4261" t="str">
        <f t="shared" si="137"/>
        <v>561860</v>
      </c>
      <c r="E4261" t="s">
        <v>4414</v>
      </c>
      <c r="F4261" t="s">
        <v>326</v>
      </c>
    </row>
    <row r="4262" spans="1:6" x14ac:dyDescent="0.25">
      <c r="A4262" t="str">
        <f>"26556197"</f>
        <v>26556197</v>
      </c>
      <c r="B4262" t="s">
        <v>4474</v>
      </c>
      <c r="C4262" t="s">
        <v>7</v>
      </c>
      <c r="D4262" t="str">
        <f t="shared" si="137"/>
        <v>561860</v>
      </c>
      <c r="E4262" t="s">
        <v>4414</v>
      </c>
      <c r="F4262" t="s">
        <v>11</v>
      </c>
    </row>
    <row r="4263" spans="1:6" x14ac:dyDescent="0.25">
      <c r="A4263" t="str">
        <f>"01453785"</f>
        <v>01453785</v>
      </c>
      <c r="B4263" t="s">
        <v>4475</v>
      </c>
      <c r="C4263" t="s">
        <v>7</v>
      </c>
      <c r="D4263" t="str">
        <f t="shared" si="137"/>
        <v>561860</v>
      </c>
      <c r="E4263" t="s">
        <v>4414</v>
      </c>
      <c r="F4263" t="s">
        <v>35</v>
      </c>
    </row>
    <row r="4264" spans="1:6" x14ac:dyDescent="0.25">
      <c r="A4264" t="str">
        <f>"27004686"</f>
        <v>27004686</v>
      </c>
      <c r="B4264" t="s">
        <v>4476</v>
      </c>
      <c r="C4264" t="s">
        <v>7</v>
      </c>
      <c r="D4264" t="str">
        <f t="shared" si="137"/>
        <v>561860</v>
      </c>
      <c r="E4264" t="s">
        <v>4414</v>
      </c>
      <c r="F4264" t="s">
        <v>11</v>
      </c>
    </row>
    <row r="4265" spans="1:6" x14ac:dyDescent="0.25">
      <c r="A4265" t="str">
        <f>"26590271"</f>
        <v>26590271</v>
      </c>
      <c r="B4265" t="s">
        <v>4477</v>
      </c>
      <c r="C4265" t="s">
        <v>20</v>
      </c>
      <c r="D4265" t="str">
        <f t="shared" si="137"/>
        <v>561860</v>
      </c>
      <c r="E4265" t="s">
        <v>4414</v>
      </c>
      <c r="F4265" t="s">
        <v>21</v>
      </c>
    </row>
    <row r="4266" spans="1:6" x14ac:dyDescent="0.25">
      <c r="A4266" t="str">
        <f>"46750002"</f>
        <v>46750002</v>
      </c>
      <c r="B4266" t="s">
        <v>4478</v>
      </c>
      <c r="C4266" t="s">
        <v>20</v>
      </c>
      <c r="D4266" t="str">
        <f t="shared" ref="D4266:D4297" si="138">"561860"</f>
        <v>561860</v>
      </c>
      <c r="E4266" t="s">
        <v>4414</v>
      </c>
      <c r="F4266" t="s">
        <v>21</v>
      </c>
    </row>
    <row r="4267" spans="1:6" x14ac:dyDescent="0.25">
      <c r="A4267" t="str">
        <f>"70914770"</f>
        <v>70914770</v>
      </c>
      <c r="B4267" t="s">
        <v>4479</v>
      </c>
      <c r="C4267" t="s">
        <v>20</v>
      </c>
      <c r="D4267" t="str">
        <f t="shared" si="138"/>
        <v>561860</v>
      </c>
      <c r="E4267" t="s">
        <v>4414</v>
      </c>
      <c r="F4267" t="s">
        <v>21</v>
      </c>
    </row>
    <row r="4268" spans="1:6" x14ac:dyDescent="0.25">
      <c r="A4268" t="str">
        <f>"68298358"</f>
        <v>68298358</v>
      </c>
      <c r="B4268" t="s">
        <v>4480</v>
      </c>
      <c r="C4268" t="s">
        <v>20</v>
      </c>
      <c r="D4268" t="str">
        <f t="shared" si="138"/>
        <v>561860</v>
      </c>
      <c r="E4268" t="s">
        <v>4414</v>
      </c>
      <c r="F4268" t="s">
        <v>21</v>
      </c>
    </row>
    <row r="4269" spans="1:6" x14ac:dyDescent="0.25">
      <c r="A4269" t="str">
        <f>"40228932"</f>
        <v>40228932</v>
      </c>
      <c r="B4269" t="s">
        <v>4481</v>
      </c>
      <c r="C4269" t="s">
        <v>7</v>
      </c>
      <c r="D4269" t="str">
        <f t="shared" si="138"/>
        <v>561860</v>
      </c>
      <c r="E4269" t="s">
        <v>4414</v>
      </c>
      <c r="F4269" t="s">
        <v>35</v>
      </c>
    </row>
    <row r="4270" spans="1:6" x14ac:dyDescent="0.25">
      <c r="A4270" t="str">
        <f>"26610108"</f>
        <v>26610108</v>
      </c>
      <c r="B4270" t="s">
        <v>4482</v>
      </c>
      <c r="C4270" t="s">
        <v>7</v>
      </c>
      <c r="D4270" t="str">
        <f t="shared" si="138"/>
        <v>561860</v>
      </c>
      <c r="E4270" t="s">
        <v>4414</v>
      </c>
      <c r="F4270" t="s">
        <v>11</v>
      </c>
    </row>
    <row r="4271" spans="1:6" x14ac:dyDescent="0.25">
      <c r="A4271" t="str">
        <f>"46750223"</f>
        <v>46750223</v>
      </c>
      <c r="B4271" t="s">
        <v>4483</v>
      </c>
      <c r="C4271" t="s">
        <v>7</v>
      </c>
      <c r="D4271" t="str">
        <f t="shared" si="138"/>
        <v>561860</v>
      </c>
      <c r="E4271" t="s">
        <v>4414</v>
      </c>
      <c r="F4271" t="s">
        <v>379</v>
      </c>
    </row>
    <row r="4272" spans="1:6" x14ac:dyDescent="0.25">
      <c r="A4272" t="str">
        <f>"22868151"</f>
        <v>22868151</v>
      </c>
      <c r="B4272" t="s">
        <v>4484</v>
      </c>
      <c r="C4272" t="s">
        <v>7</v>
      </c>
      <c r="D4272" t="str">
        <f t="shared" si="138"/>
        <v>561860</v>
      </c>
      <c r="E4272" t="s">
        <v>4414</v>
      </c>
      <c r="F4272" t="s">
        <v>29</v>
      </c>
    </row>
    <row r="4273" spans="1:6" x14ac:dyDescent="0.25">
      <c r="A4273" t="str">
        <f>"68299591"</f>
        <v>68299591</v>
      </c>
      <c r="B4273" t="s">
        <v>4485</v>
      </c>
      <c r="C4273" t="s">
        <v>7</v>
      </c>
      <c r="D4273" t="str">
        <f t="shared" si="138"/>
        <v>561860</v>
      </c>
      <c r="E4273" t="s">
        <v>4414</v>
      </c>
      <c r="F4273" t="s">
        <v>11</v>
      </c>
    </row>
    <row r="4274" spans="1:6" x14ac:dyDescent="0.25">
      <c r="A4274" t="str">
        <f>"04518101"</f>
        <v>04518101</v>
      </c>
      <c r="B4274" t="s">
        <v>4486</v>
      </c>
      <c r="C4274" t="s">
        <v>7</v>
      </c>
      <c r="D4274" t="str">
        <f t="shared" si="138"/>
        <v>561860</v>
      </c>
      <c r="E4274" t="s">
        <v>4414</v>
      </c>
      <c r="F4274" t="s">
        <v>11</v>
      </c>
    </row>
    <row r="4275" spans="1:6" x14ac:dyDescent="0.25">
      <c r="A4275" t="str">
        <f>"22756639"</f>
        <v>22756639</v>
      </c>
      <c r="B4275" t="s">
        <v>4487</v>
      </c>
      <c r="C4275" t="s">
        <v>15</v>
      </c>
      <c r="D4275" t="str">
        <f t="shared" si="138"/>
        <v>561860</v>
      </c>
      <c r="E4275" t="s">
        <v>4414</v>
      </c>
      <c r="F4275" t="s">
        <v>137</v>
      </c>
    </row>
    <row r="4276" spans="1:6" x14ac:dyDescent="0.25">
      <c r="A4276" t="str">
        <f>"27004295"</f>
        <v>27004295</v>
      </c>
      <c r="B4276" t="s">
        <v>4488</v>
      </c>
      <c r="C4276" t="s">
        <v>27</v>
      </c>
      <c r="D4276" t="str">
        <f t="shared" si="138"/>
        <v>561860</v>
      </c>
      <c r="E4276" t="s">
        <v>4414</v>
      </c>
      <c r="F4276" t="s">
        <v>183</v>
      </c>
    </row>
    <row r="4277" spans="1:6" x14ac:dyDescent="0.25">
      <c r="A4277" t="str">
        <f>"75049457"</f>
        <v>75049457</v>
      </c>
      <c r="B4277" t="s">
        <v>4489</v>
      </c>
      <c r="C4277" t="s">
        <v>726</v>
      </c>
      <c r="D4277" t="str">
        <f t="shared" si="138"/>
        <v>561860</v>
      </c>
      <c r="E4277" t="s">
        <v>4414</v>
      </c>
      <c r="F4277" t="s">
        <v>424</v>
      </c>
    </row>
    <row r="4278" spans="1:6" x14ac:dyDescent="0.25">
      <c r="A4278" t="str">
        <f>"05804469"</f>
        <v>05804469</v>
      </c>
      <c r="B4278" t="s">
        <v>4490</v>
      </c>
      <c r="C4278" t="s">
        <v>7</v>
      </c>
      <c r="D4278" t="str">
        <f t="shared" si="138"/>
        <v>561860</v>
      </c>
      <c r="E4278" t="s">
        <v>4414</v>
      </c>
      <c r="F4278" t="s">
        <v>62</v>
      </c>
    </row>
    <row r="4279" spans="1:6" x14ac:dyDescent="0.25">
      <c r="A4279" t="str">
        <f>"22899847"</f>
        <v>22899847</v>
      </c>
      <c r="B4279" t="s">
        <v>4491</v>
      </c>
      <c r="C4279" t="s">
        <v>7</v>
      </c>
      <c r="D4279" t="str">
        <f t="shared" si="138"/>
        <v>561860</v>
      </c>
      <c r="E4279" t="s">
        <v>4414</v>
      </c>
      <c r="F4279" t="s">
        <v>29</v>
      </c>
    </row>
    <row r="4280" spans="1:6" x14ac:dyDescent="0.25">
      <c r="A4280" t="str">
        <f>"48282316"</f>
        <v>48282316</v>
      </c>
      <c r="B4280" t="s">
        <v>4492</v>
      </c>
      <c r="C4280" t="s">
        <v>43</v>
      </c>
      <c r="D4280" t="str">
        <f t="shared" si="138"/>
        <v>561860</v>
      </c>
      <c r="E4280" t="s">
        <v>4414</v>
      </c>
      <c r="F4280" t="s">
        <v>44</v>
      </c>
    </row>
    <row r="4281" spans="1:6" x14ac:dyDescent="0.25">
      <c r="A4281" t="str">
        <f>"63778157"</f>
        <v>63778157</v>
      </c>
      <c r="B4281" t="s">
        <v>4493</v>
      </c>
      <c r="C4281" t="s">
        <v>43</v>
      </c>
      <c r="D4281" t="str">
        <f t="shared" si="138"/>
        <v>561860</v>
      </c>
      <c r="E4281" t="s">
        <v>4414</v>
      </c>
      <c r="F4281" t="s">
        <v>44</v>
      </c>
    </row>
    <row r="4282" spans="1:6" x14ac:dyDescent="0.25">
      <c r="A4282" t="str">
        <f>"63778165"</f>
        <v>63778165</v>
      </c>
      <c r="B4282" t="s">
        <v>4494</v>
      </c>
      <c r="C4282" t="s">
        <v>43</v>
      </c>
      <c r="D4282" t="str">
        <f t="shared" si="138"/>
        <v>561860</v>
      </c>
      <c r="E4282" t="s">
        <v>4414</v>
      </c>
      <c r="F4282" t="s">
        <v>44</v>
      </c>
    </row>
    <row r="4283" spans="1:6" x14ac:dyDescent="0.25">
      <c r="A4283" t="str">
        <f>"63778149"</f>
        <v>63778149</v>
      </c>
      <c r="B4283" t="s">
        <v>4495</v>
      </c>
      <c r="C4283" t="s">
        <v>43</v>
      </c>
      <c r="D4283" t="str">
        <f t="shared" si="138"/>
        <v>561860</v>
      </c>
      <c r="E4283" t="s">
        <v>4414</v>
      </c>
      <c r="F4283" t="s">
        <v>44</v>
      </c>
    </row>
    <row r="4284" spans="1:6" x14ac:dyDescent="0.25">
      <c r="A4284" t="str">
        <f>"65650107"</f>
        <v>65650107</v>
      </c>
      <c r="B4284" t="s">
        <v>4496</v>
      </c>
      <c r="C4284" t="s">
        <v>7</v>
      </c>
      <c r="D4284" t="str">
        <f t="shared" si="138"/>
        <v>561860</v>
      </c>
      <c r="E4284" t="s">
        <v>4414</v>
      </c>
      <c r="F4284" t="s">
        <v>11</v>
      </c>
    </row>
    <row r="4285" spans="1:6" x14ac:dyDescent="0.25">
      <c r="A4285" t="str">
        <f>"68954191"</f>
        <v>68954191</v>
      </c>
      <c r="B4285" t="s">
        <v>4497</v>
      </c>
      <c r="C4285" t="s">
        <v>7</v>
      </c>
      <c r="D4285" t="str">
        <f t="shared" si="138"/>
        <v>561860</v>
      </c>
      <c r="E4285" t="s">
        <v>4414</v>
      </c>
      <c r="F4285" t="s">
        <v>4498</v>
      </c>
    </row>
    <row r="4286" spans="1:6" x14ac:dyDescent="0.25">
      <c r="A4286" t="str">
        <f>"65650301"</f>
        <v>65650301</v>
      </c>
      <c r="B4286" t="s">
        <v>4499</v>
      </c>
      <c r="C4286" t="s">
        <v>7</v>
      </c>
      <c r="D4286" t="str">
        <f t="shared" si="138"/>
        <v>561860</v>
      </c>
      <c r="E4286" t="s">
        <v>4414</v>
      </c>
      <c r="F4286" t="s">
        <v>11</v>
      </c>
    </row>
    <row r="4287" spans="1:6" x14ac:dyDescent="0.25">
      <c r="A4287" t="str">
        <f>"26650771"</f>
        <v>26650771</v>
      </c>
      <c r="B4287" t="s">
        <v>4500</v>
      </c>
      <c r="C4287" t="s">
        <v>7</v>
      </c>
      <c r="D4287" t="str">
        <f t="shared" si="138"/>
        <v>561860</v>
      </c>
      <c r="E4287" t="s">
        <v>4414</v>
      </c>
      <c r="F4287" t="s">
        <v>11</v>
      </c>
    </row>
    <row r="4288" spans="1:6" x14ac:dyDescent="0.25">
      <c r="A4288" t="str">
        <f>"63778599"</f>
        <v>63778599</v>
      </c>
      <c r="B4288" t="s">
        <v>4501</v>
      </c>
      <c r="C4288" t="s">
        <v>7</v>
      </c>
      <c r="D4288" t="str">
        <f t="shared" si="138"/>
        <v>561860</v>
      </c>
      <c r="E4288" t="s">
        <v>4414</v>
      </c>
      <c r="F4288" t="s">
        <v>11</v>
      </c>
    </row>
    <row r="4289" spans="1:6" x14ac:dyDescent="0.25">
      <c r="A4289" t="str">
        <f>"65650581"</f>
        <v>65650581</v>
      </c>
      <c r="B4289" t="s">
        <v>4502</v>
      </c>
      <c r="C4289" t="s">
        <v>7</v>
      </c>
      <c r="D4289" t="str">
        <f t="shared" si="138"/>
        <v>561860</v>
      </c>
      <c r="E4289" t="s">
        <v>4414</v>
      </c>
      <c r="F4289" t="s">
        <v>11</v>
      </c>
    </row>
    <row r="4290" spans="1:6" x14ac:dyDescent="0.25">
      <c r="A4290" t="str">
        <f>"22848746"</f>
        <v>22848746</v>
      </c>
      <c r="B4290" t="s">
        <v>4503</v>
      </c>
      <c r="C4290" t="s">
        <v>7</v>
      </c>
      <c r="D4290" t="str">
        <f t="shared" si="138"/>
        <v>561860</v>
      </c>
      <c r="E4290" t="s">
        <v>4414</v>
      </c>
      <c r="F4290" t="s">
        <v>13</v>
      </c>
    </row>
    <row r="4291" spans="1:6" x14ac:dyDescent="0.25">
      <c r="A4291" t="str">
        <f>"75118203"</f>
        <v>75118203</v>
      </c>
      <c r="B4291" t="s">
        <v>4504</v>
      </c>
      <c r="C4291" t="s">
        <v>15</v>
      </c>
      <c r="D4291" t="str">
        <f t="shared" si="138"/>
        <v>561860</v>
      </c>
      <c r="E4291" t="s">
        <v>4414</v>
      </c>
      <c r="F4291" t="s">
        <v>621</v>
      </c>
    </row>
    <row r="4292" spans="1:6" x14ac:dyDescent="0.25">
      <c r="A4292" t="str">
        <f>"63778441"</f>
        <v>63778441</v>
      </c>
      <c r="B4292" t="s">
        <v>4505</v>
      </c>
      <c r="C4292" t="s">
        <v>15</v>
      </c>
      <c r="D4292" t="str">
        <f t="shared" si="138"/>
        <v>561860</v>
      </c>
      <c r="E4292" t="s">
        <v>4414</v>
      </c>
      <c r="F4292" t="s">
        <v>16</v>
      </c>
    </row>
    <row r="4293" spans="1:6" x14ac:dyDescent="0.25">
      <c r="A4293" t="str">
        <f>"28551354"</f>
        <v>28551354</v>
      </c>
      <c r="B4293" t="s">
        <v>4506</v>
      </c>
      <c r="C4293" t="s">
        <v>7</v>
      </c>
      <c r="D4293" t="str">
        <f t="shared" si="138"/>
        <v>561860</v>
      </c>
      <c r="E4293" t="s">
        <v>4414</v>
      </c>
      <c r="F4293" t="s">
        <v>9</v>
      </c>
    </row>
    <row r="4294" spans="1:6" x14ac:dyDescent="0.25">
      <c r="A4294" t="str">
        <f>"48282201"</f>
        <v>48282201</v>
      </c>
      <c r="B4294" t="s">
        <v>4507</v>
      </c>
      <c r="C4294" t="s">
        <v>7</v>
      </c>
      <c r="D4294" t="str">
        <f t="shared" si="138"/>
        <v>561860</v>
      </c>
      <c r="E4294" t="s">
        <v>4414</v>
      </c>
      <c r="F4294" t="s">
        <v>9</v>
      </c>
    </row>
    <row r="4295" spans="1:6" x14ac:dyDescent="0.25">
      <c r="A4295" t="str">
        <f>"22821392"</f>
        <v>22821392</v>
      </c>
      <c r="B4295" t="s">
        <v>4508</v>
      </c>
      <c r="C4295" t="s">
        <v>7</v>
      </c>
      <c r="D4295" t="str">
        <f t="shared" si="138"/>
        <v>561860</v>
      </c>
      <c r="E4295" t="s">
        <v>4414</v>
      </c>
      <c r="F4295" t="s">
        <v>35</v>
      </c>
    </row>
    <row r="4296" spans="1:6" x14ac:dyDescent="0.25">
      <c r="A4296" t="str">
        <f>"26549603"</f>
        <v>26549603</v>
      </c>
      <c r="B4296" t="s">
        <v>4509</v>
      </c>
      <c r="C4296" t="s">
        <v>7</v>
      </c>
      <c r="D4296" t="str">
        <f t="shared" si="138"/>
        <v>561860</v>
      </c>
      <c r="E4296" t="s">
        <v>4414</v>
      </c>
      <c r="F4296" t="s">
        <v>9</v>
      </c>
    </row>
    <row r="4297" spans="1:6" x14ac:dyDescent="0.25">
      <c r="A4297" t="str">
        <f>"26607689"</f>
        <v>26607689</v>
      </c>
      <c r="B4297" t="s">
        <v>4510</v>
      </c>
      <c r="C4297" t="s">
        <v>7</v>
      </c>
      <c r="D4297" t="str">
        <f t="shared" si="138"/>
        <v>561860</v>
      </c>
      <c r="E4297" t="s">
        <v>4414</v>
      </c>
      <c r="F4297" t="s">
        <v>9</v>
      </c>
    </row>
    <row r="4298" spans="1:6" x14ac:dyDescent="0.25">
      <c r="A4298" t="str">
        <f>"46750142"</f>
        <v>46750142</v>
      </c>
      <c r="B4298" t="s">
        <v>4511</v>
      </c>
      <c r="C4298" t="s">
        <v>7</v>
      </c>
      <c r="D4298" t="str">
        <f t="shared" ref="D4298:D4329" si="139">"561860"</f>
        <v>561860</v>
      </c>
      <c r="E4298" t="s">
        <v>4414</v>
      </c>
      <c r="F4298" t="s">
        <v>11</v>
      </c>
    </row>
    <row r="4299" spans="1:6" x14ac:dyDescent="0.25">
      <c r="A4299" t="str">
        <f>"22861696"</f>
        <v>22861696</v>
      </c>
      <c r="B4299" t="s">
        <v>4512</v>
      </c>
      <c r="C4299" t="s">
        <v>7</v>
      </c>
      <c r="D4299" t="str">
        <f t="shared" si="139"/>
        <v>561860</v>
      </c>
      <c r="E4299" t="s">
        <v>4414</v>
      </c>
      <c r="F4299" t="s">
        <v>11</v>
      </c>
    </row>
    <row r="4300" spans="1:6" x14ac:dyDescent="0.25">
      <c r="A4300" t="str">
        <f>"02929856"</f>
        <v>02929856</v>
      </c>
      <c r="B4300" t="s">
        <v>4513</v>
      </c>
      <c r="C4300" t="s">
        <v>7</v>
      </c>
      <c r="D4300" t="str">
        <f t="shared" si="139"/>
        <v>561860</v>
      </c>
      <c r="E4300" t="s">
        <v>4414</v>
      </c>
      <c r="F4300" t="s">
        <v>11</v>
      </c>
    </row>
    <row r="4301" spans="1:6" x14ac:dyDescent="0.25">
      <c r="A4301" t="str">
        <f>"26581370"</f>
        <v>26581370</v>
      </c>
      <c r="B4301" t="s">
        <v>4514</v>
      </c>
      <c r="C4301" t="s">
        <v>7</v>
      </c>
      <c r="D4301" t="str">
        <f t="shared" si="139"/>
        <v>561860</v>
      </c>
      <c r="E4301" t="s">
        <v>4414</v>
      </c>
      <c r="F4301" t="s">
        <v>11</v>
      </c>
    </row>
    <row r="4302" spans="1:6" x14ac:dyDescent="0.25">
      <c r="A4302" t="str">
        <f>"49864017"</f>
        <v>49864017</v>
      </c>
      <c r="B4302" t="s">
        <v>4515</v>
      </c>
      <c r="C4302" t="s">
        <v>7</v>
      </c>
      <c r="D4302" t="str">
        <f t="shared" si="139"/>
        <v>561860</v>
      </c>
      <c r="E4302" t="s">
        <v>4414</v>
      </c>
      <c r="F4302" t="s">
        <v>379</v>
      </c>
    </row>
    <row r="4303" spans="1:6" x14ac:dyDescent="0.25">
      <c r="A4303" t="str">
        <f>"01642375"</f>
        <v>01642375</v>
      </c>
      <c r="B4303" t="s">
        <v>4516</v>
      </c>
      <c r="C4303" t="s">
        <v>7</v>
      </c>
      <c r="D4303" t="str">
        <f t="shared" si="139"/>
        <v>561860</v>
      </c>
      <c r="E4303" t="s">
        <v>4414</v>
      </c>
      <c r="F4303" t="s">
        <v>11</v>
      </c>
    </row>
    <row r="4304" spans="1:6" x14ac:dyDescent="0.25">
      <c r="A4304" t="str">
        <f>"14095327"</f>
        <v>14095327</v>
      </c>
      <c r="B4304" t="s">
        <v>4517</v>
      </c>
      <c r="C4304" t="s">
        <v>7</v>
      </c>
      <c r="D4304" t="str">
        <f t="shared" si="139"/>
        <v>561860</v>
      </c>
      <c r="E4304" t="s">
        <v>4414</v>
      </c>
      <c r="F4304" t="s">
        <v>29</v>
      </c>
    </row>
    <row r="4305" spans="1:6" x14ac:dyDescent="0.25">
      <c r="A4305" t="str">
        <f>"19150067"</f>
        <v>19150067</v>
      </c>
      <c r="B4305" t="s">
        <v>4518</v>
      </c>
      <c r="C4305" t="s">
        <v>7</v>
      </c>
      <c r="D4305" t="str">
        <f t="shared" si="139"/>
        <v>561860</v>
      </c>
      <c r="E4305" t="s">
        <v>4414</v>
      </c>
      <c r="F4305" t="s">
        <v>18</v>
      </c>
    </row>
    <row r="4306" spans="1:6" x14ac:dyDescent="0.25">
      <c r="A4306" t="str">
        <f>"02336235"</f>
        <v>02336235</v>
      </c>
      <c r="B4306" t="s">
        <v>4519</v>
      </c>
      <c r="C4306" t="s">
        <v>7</v>
      </c>
      <c r="D4306" t="str">
        <f t="shared" si="139"/>
        <v>561860</v>
      </c>
      <c r="E4306" t="s">
        <v>4414</v>
      </c>
      <c r="F4306" t="s">
        <v>11</v>
      </c>
    </row>
    <row r="4307" spans="1:6" x14ac:dyDescent="0.25">
      <c r="A4307" t="str">
        <f>"03593801"</f>
        <v>03593801</v>
      </c>
      <c r="B4307" t="s">
        <v>4520</v>
      </c>
      <c r="C4307" t="s">
        <v>7</v>
      </c>
      <c r="D4307" t="str">
        <f t="shared" si="139"/>
        <v>561860</v>
      </c>
      <c r="E4307" t="s">
        <v>4414</v>
      </c>
      <c r="F4307" t="s">
        <v>11</v>
      </c>
    </row>
    <row r="4308" spans="1:6" x14ac:dyDescent="0.25">
      <c r="A4308" t="str">
        <f>"02874016"</f>
        <v>02874016</v>
      </c>
      <c r="B4308" t="s">
        <v>4521</v>
      </c>
      <c r="C4308" t="s">
        <v>7</v>
      </c>
      <c r="D4308" t="str">
        <f t="shared" si="139"/>
        <v>561860</v>
      </c>
      <c r="E4308" t="s">
        <v>4414</v>
      </c>
      <c r="F4308" t="s">
        <v>11</v>
      </c>
    </row>
    <row r="4309" spans="1:6" x14ac:dyDescent="0.25">
      <c r="A4309" t="str">
        <f>"22816607"</f>
        <v>22816607</v>
      </c>
      <c r="B4309" t="s">
        <v>4522</v>
      </c>
      <c r="C4309" t="s">
        <v>78</v>
      </c>
      <c r="D4309" t="str">
        <f t="shared" si="139"/>
        <v>561860</v>
      </c>
      <c r="E4309" t="s">
        <v>4414</v>
      </c>
      <c r="F4309" t="s">
        <v>11</v>
      </c>
    </row>
    <row r="4310" spans="1:6" x14ac:dyDescent="0.25">
      <c r="A4310" t="str">
        <f>"09234829"</f>
        <v>09234829</v>
      </c>
      <c r="B4310" t="s">
        <v>4523</v>
      </c>
      <c r="C4310" t="s">
        <v>7</v>
      </c>
      <c r="D4310" t="str">
        <f t="shared" si="139"/>
        <v>561860</v>
      </c>
      <c r="E4310" t="s">
        <v>4414</v>
      </c>
      <c r="F4310" t="s">
        <v>13</v>
      </c>
    </row>
    <row r="4311" spans="1:6" x14ac:dyDescent="0.25">
      <c r="A4311" t="str">
        <f>"08083495"</f>
        <v>08083495</v>
      </c>
      <c r="B4311" t="s">
        <v>4524</v>
      </c>
      <c r="C4311" t="s">
        <v>7</v>
      </c>
      <c r="D4311" t="str">
        <f t="shared" si="139"/>
        <v>561860</v>
      </c>
      <c r="E4311" t="s">
        <v>4414</v>
      </c>
      <c r="F4311" t="s">
        <v>139</v>
      </c>
    </row>
    <row r="4312" spans="1:6" x14ac:dyDescent="0.25">
      <c r="A4312" t="str">
        <f>"72754184"</f>
        <v>72754184</v>
      </c>
      <c r="B4312" t="s">
        <v>4525</v>
      </c>
      <c r="C4312" t="s">
        <v>15</v>
      </c>
      <c r="D4312" t="str">
        <f t="shared" si="139"/>
        <v>561860</v>
      </c>
      <c r="E4312" t="s">
        <v>4414</v>
      </c>
      <c r="F4312" t="s">
        <v>137</v>
      </c>
    </row>
    <row r="4313" spans="1:6" x14ac:dyDescent="0.25">
      <c r="A4313" t="str">
        <f>"62237551"</f>
        <v>62237551</v>
      </c>
      <c r="B4313" t="s">
        <v>4526</v>
      </c>
      <c r="C4313" t="s">
        <v>15</v>
      </c>
      <c r="D4313" t="str">
        <f t="shared" si="139"/>
        <v>561860</v>
      </c>
      <c r="E4313" t="s">
        <v>4414</v>
      </c>
      <c r="F4313" t="s">
        <v>11</v>
      </c>
    </row>
    <row r="4314" spans="1:6" x14ac:dyDescent="0.25">
      <c r="A4314" t="str">
        <f>"00671479"</f>
        <v>00671479</v>
      </c>
      <c r="B4314" t="s">
        <v>4527</v>
      </c>
      <c r="C4314" t="s">
        <v>7</v>
      </c>
      <c r="D4314" t="str">
        <f t="shared" si="139"/>
        <v>561860</v>
      </c>
      <c r="E4314" t="s">
        <v>4414</v>
      </c>
      <c r="F4314" t="s">
        <v>11</v>
      </c>
    </row>
    <row r="4315" spans="1:6" x14ac:dyDescent="0.25">
      <c r="A4315" t="str">
        <f>"70824827"</f>
        <v>70824827</v>
      </c>
      <c r="B4315" t="s">
        <v>4528</v>
      </c>
      <c r="C4315" t="s">
        <v>7</v>
      </c>
      <c r="D4315" t="str">
        <f t="shared" si="139"/>
        <v>561860</v>
      </c>
      <c r="E4315" t="s">
        <v>4414</v>
      </c>
      <c r="F4315" t="s">
        <v>11</v>
      </c>
    </row>
    <row r="4316" spans="1:6" x14ac:dyDescent="0.25">
      <c r="A4316" t="str">
        <f>"26681706"</f>
        <v>26681706</v>
      </c>
      <c r="B4316" t="s">
        <v>4529</v>
      </c>
      <c r="C4316" t="s">
        <v>7</v>
      </c>
      <c r="D4316" t="str">
        <f t="shared" si="139"/>
        <v>561860</v>
      </c>
      <c r="E4316" t="s">
        <v>4414</v>
      </c>
      <c r="F4316" t="s">
        <v>9</v>
      </c>
    </row>
    <row r="4317" spans="1:6" x14ac:dyDescent="0.25">
      <c r="A4317" t="str">
        <f>"22770101"</f>
        <v>22770101</v>
      </c>
      <c r="B4317" t="s">
        <v>4530</v>
      </c>
      <c r="C4317" t="s">
        <v>7</v>
      </c>
      <c r="D4317" t="str">
        <f t="shared" si="139"/>
        <v>561860</v>
      </c>
      <c r="E4317" t="s">
        <v>4414</v>
      </c>
      <c r="F4317" t="s">
        <v>328</v>
      </c>
    </row>
    <row r="4318" spans="1:6" x14ac:dyDescent="0.25">
      <c r="A4318" t="str">
        <f>"46750568"</f>
        <v>46750568</v>
      </c>
      <c r="B4318" t="s">
        <v>4531</v>
      </c>
      <c r="C4318" t="s">
        <v>7</v>
      </c>
      <c r="D4318" t="str">
        <f t="shared" si="139"/>
        <v>561860</v>
      </c>
      <c r="E4318" t="s">
        <v>4414</v>
      </c>
      <c r="F4318" t="s">
        <v>9</v>
      </c>
    </row>
    <row r="4319" spans="1:6" x14ac:dyDescent="0.25">
      <c r="A4319" t="str">
        <f>"44225113"</f>
        <v>44225113</v>
      </c>
      <c r="B4319" t="s">
        <v>4532</v>
      </c>
      <c r="C4319" t="s">
        <v>7</v>
      </c>
      <c r="D4319" t="str">
        <f t="shared" si="139"/>
        <v>561860</v>
      </c>
      <c r="E4319" t="s">
        <v>4414</v>
      </c>
      <c r="F4319" t="s">
        <v>9</v>
      </c>
    </row>
    <row r="4320" spans="1:6" x14ac:dyDescent="0.25">
      <c r="A4320" t="str">
        <f>"08026513"</f>
        <v>08026513</v>
      </c>
      <c r="B4320" t="s">
        <v>4533</v>
      </c>
      <c r="C4320" t="s">
        <v>7</v>
      </c>
      <c r="D4320" t="str">
        <f t="shared" si="139"/>
        <v>561860</v>
      </c>
      <c r="E4320" t="s">
        <v>4414</v>
      </c>
      <c r="F4320" t="s">
        <v>11</v>
      </c>
    </row>
    <row r="4321" spans="1:6" x14ac:dyDescent="0.25">
      <c r="A4321" t="str">
        <f>"44224109"</f>
        <v>44224109</v>
      </c>
      <c r="B4321" t="s">
        <v>4534</v>
      </c>
      <c r="C4321" t="s">
        <v>7</v>
      </c>
      <c r="D4321" t="str">
        <f t="shared" si="139"/>
        <v>561860</v>
      </c>
      <c r="E4321" t="s">
        <v>4414</v>
      </c>
      <c r="F4321" t="s">
        <v>9</v>
      </c>
    </row>
    <row r="4322" spans="1:6" x14ac:dyDescent="0.25">
      <c r="A4322" t="str">
        <f>"46750169"</f>
        <v>46750169</v>
      </c>
      <c r="B4322" t="s">
        <v>4535</v>
      </c>
      <c r="C4322" t="s">
        <v>7</v>
      </c>
      <c r="D4322" t="str">
        <f t="shared" si="139"/>
        <v>561860</v>
      </c>
      <c r="E4322" t="s">
        <v>4414</v>
      </c>
      <c r="F4322" t="s">
        <v>9</v>
      </c>
    </row>
    <row r="4323" spans="1:6" x14ac:dyDescent="0.25">
      <c r="A4323" t="str">
        <f>"63778611"</f>
        <v>63778611</v>
      </c>
      <c r="B4323" t="s">
        <v>4536</v>
      </c>
      <c r="C4323" t="s">
        <v>15</v>
      </c>
      <c r="D4323" t="str">
        <f t="shared" si="139"/>
        <v>561860</v>
      </c>
      <c r="E4323" t="s">
        <v>4414</v>
      </c>
      <c r="F4323" t="s">
        <v>11</v>
      </c>
    </row>
    <row r="4324" spans="1:6" x14ac:dyDescent="0.25">
      <c r="A4324" t="str">
        <f>"75062020"</f>
        <v>75062020</v>
      </c>
      <c r="B4324" t="s">
        <v>4537</v>
      </c>
      <c r="C4324" t="s">
        <v>15</v>
      </c>
      <c r="D4324" t="str">
        <f t="shared" si="139"/>
        <v>561860</v>
      </c>
      <c r="E4324" t="s">
        <v>4414</v>
      </c>
      <c r="F4324" t="s">
        <v>139</v>
      </c>
    </row>
    <row r="4325" spans="1:6" x14ac:dyDescent="0.25">
      <c r="A4325" t="str">
        <f>"04122526"</f>
        <v>04122526</v>
      </c>
      <c r="B4325" t="s">
        <v>4538</v>
      </c>
      <c r="C4325" t="s">
        <v>27</v>
      </c>
      <c r="D4325" t="str">
        <f t="shared" si="139"/>
        <v>561860</v>
      </c>
      <c r="E4325" t="s">
        <v>4414</v>
      </c>
      <c r="F4325" t="s">
        <v>865</v>
      </c>
    </row>
    <row r="4326" spans="1:6" x14ac:dyDescent="0.25">
      <c r="A4326" t="str">
        <f>"49864386"</f>
        <v>49864386</v>
      </c>
      <c r="B4326" t="s">
        <v>4539</v>
      </c>
      <c r="C4326" t="s">
        <v>7</v>
      </c>
      <c r="D4326" t="str">
        <f t="shared" si="139"/>
        <v>561860</v>
      </c>
      <c r="E4326" t="s">
        <v>4414</v>
      </c>
      <c r="F4326" t="s">
        <v>381</v>
      </c>
    </row>
    <row r="4327" spans="1:6" x14ac:dyDescent="0.25">
      <c r="A4327" t="str">
        <f>"22864351"</f>
        <v>22864351</v>
      </c>
      <c r="B4327" t="s">
        <v>4540</v>
      </c>
      <c r="C4327" t="s">
        <v>7</v>
      </c>
      <c r="D4327" t="str">
        <f t="shared" si="139"/>
        <v>561860</v>
      </c>
      <c r="E4327" t="s">
        <v>4414</v>
      </c>
      <c r="F4327" t="s">
        <v>18</v>
      </c>
    </row>
    <row r="4328" spans="1:6" x14ac:dyDescent="0.25">
      <c r="A4328" t="str">
        <f>"02830264"</f>
        <v>02830264</v>
      </c>
      <c r="B4328" t="s">
        <v>4541</v>
      </c>
      <c r="C4328" t="s">
        <v>7</v>
      </c>
      <c r="D4328" t="str">
        <f t="shared" si="139"/>
        <v>561860</v>
      </c>
      <c r="E4328" t="s">
        <v>4414</v>
      </c>
      <c r="F4328" t="s">
        <v>21</v>
      </c>
    </row>
    <row r="4329" spans="1:6" x14ac:dyDescent="0.25">
      <c r="A4329" t="str">
        <f>"70901228"</f>
        <v>70901228</v>
      </c>
      <c r="B4329" t="s">
        <v>4542</v>
      </c>
      <c r="C4329" t="s">
        <v>15</v>
      </c>
      <c r="D4329" t="str">
        <f t="shared" si="139"/>
        <v>561860</v>
      </c>
      <c r="E4329" t="s">
        <v>4414</v>
      </c>
      <c r="F4329" t="s">
        <v>29</v>
      </c>
    </row>
    <row r="4330" spans="1:6" x14ac:dyDescent="0.25">
      <c r="A4330" t="str">
        <f>"71173871"</f>
        <v>71173871</v>
      </c>
      <c r="B4330" t="s">
        <v>4543</v>
      </c>
      <c r="C4330" t="s">
        <v>15</v>
      </c>
      <c r="D4330" t="str">
        <f t="shared" ref="D4330:D4337" si="140">"561860"</f>
        <v>561860</v>
      </c>
      <c r="E4330" t="s">
        <v>4414</v>
      </c>
      <c r="F4330" t="s">
        <v>29</v>
      </c>
    </row>
    <row r="4331" spans="1:6" x14ac:dyDescent="0.25">
      <c r="A4331" t="str">
        <f>"22719172"</f>
        <v>22719172</v>
      </c>
      <c r="B4331" t="s">
        <v>4544</v>
      </c>
      <c r="C4331" t="s">
        <v>20</v>
      </c>
      <c r="D4331" t="str">
        <f t="shared" si="140"/>
        <v>561860</v>
      </c>
      <c r="E4331" t="s">
        <v>4414</v>
      </c>
      <c r="F4331" t="s">
        <v>21</v>
      </c>
    </row>
    <row r="4332" spans="1:6" x14ac:dyDescent="0.25">
      <c r="A4332" t="str">
        <f>"62237586"</f>
        <v>62237586</v>
      </c>
      <c r="B4332" t="s">
        <v>4545</v>
      </c>
      <c r="C4332" t="s">
        <v>20</v>
      </c>
      <c r="D4332" t="str">
        <f t="shared" si="140"/>
        <v>561860</v>
      </c>
      <c r="E4332" t="s">
        <v>4414</v>
      </c>
      <c r="F4332" t="s">
        <v>21</v>
      </c>
    </row>
    <row r="4333" spans="1:6" x14ac:dyDescent="0.25">
      <c r="A4333" t="str">
        <f>"26556286"</f>
        <v>26556286</v>
      </c>
      <c r="B4333" t="s">
        <v>4546</v>
      </c>
      <c r="C4333" t="s">
        <v>7</v>
      </c>
      <c r="D4333" t="str">
        <f t="shared" si="140"/>
        <v>561860</v>
      </c>
      <c r="E4333" t="s">
        <v>4414</v>
      </c>
      <c r="F4333" t="s">
        <v>18</v>
      </c>
    </row>
    <row r="4334" spans="1:6" x14ac:dyDescent="0.25">
      <c r="A4334" t="str">
        <f>"69291837"</f>
        <v>69291837</v>
      </c>
      <c r="B4334" t="s">
        <v>4547</v>
      </c>
      <c r="C4334" t="s">
        <v>15</v>
      </c>
      <c r="D4334" t="str">
        <f t="shared" si="140"/>
        <v>561860</v>
      </c>
      <c r="E4334" t="s">
        <v>4414</v>
      </c>
      <c r="F4334" t="s">
        <v>18</v>
      </c>
    </row>
    <row r="4335" spans="1:6" x14ac:dyDescent="0.25">
      <c r="A4335" t="str">
        <f>"62237951"</f>
        <v>62237951</v>
      </c>
      <c r="B4335" t="s">
        <v>4548</v>
      </c>
      <c r="C4335" t="s">
        <v>20</v>
      </c>
      <c r="D4335" t="str">
        <f t="shared" si="140"/>
        <v>561860</v>
      </c>
      <c r="E4335" t="s">
        <v>4414</v>
      </c>
      <c r="F4335" t="s">
        <v>21</v>
      </c>
    </row>
    <row r="4336" spans="1:6" x14ac:dyDescent="0.25">
      <c r="A4336" t="str">
        <f>"63778262"</f>
        <v>63778262</v>
      </c>
      <c r="B4336" t="s">
        <v>4549</v>
      </c>
      <c r="C4336" t="s">
        <v>20</v>
      </c>
      <c r="D4336" t="str">
        <f t="shared" si="140"/>
        <v>561860</v>
      </c>
      <c r="E4336" t="s">
        <v>4414</v>
      </c>
      <c r="F4336" t="s">
        <v>21</v>
      </c>
    </row>
    <row r="4337" spans="1:6" x14ac:dyDescent="0.25">
      <c r="A4337" t="str">
        <f>"26539691"</f>
        <v>26539691</v>
      </c>
      <c r="B4337" t="s">
        <v>4550</v>
      </c>
      <c r="C4337" t="s">
        <v>7</v>
      </c>
      <c r="D4337" t="str">
        <f t="shared" si="140"/>
        <v>561860</v>
      </c>
      <c r="E4337" t="s">
        <v>4414</v>
      </c>
      <c r="F4337" t="s">
        <v>9</v>
      </c>
    </row>
    <row r="4338" spans="1:6" x14ac:dyDescent="0.25">
      <c r="A4338" t="str">
        <f>"70200378"</f>
        <v>70200378</v>
      </c>
      <c r="B4338" t="s">
        <v>4551</v>
      </c>
      <c r="C4338" t="s">
        <v>7</v>
      </c>
      <c r="D4338" t="str">
        <f t="shared" ref="D4338:D4344" si="141">"561878"</f>
        <v>561878</v>
      </c>
      <c r="E4338" t="s">
        <v>4552</v>
      </c>
      <c r="F4338" t="s">
        <v>65</v>
      </c>
    </row>
    <row r="4339" spans="1:6" x14ac:dyDescent="0.25">
      <c r="A4339" t="str">
        <f>"19918551"</f>
        <v>19918551</v>
      </c>
      <c r="B4339" t="s">
        <v>4553</v>
      </c>
      <c r="C4339" t="s">
        <v>7</v>
      </c>
      <c r="D4339" t="str">
        <f t="shared" si="141"/>
        <v>561878</v>
      </c>
      <c r="E4339" t="s">
        <v>4552</v>
      </c>
      <c r="F4339" t="s">
        <v>11</v>
      </c>
    </row>
    <row r="4340" spans="1:6" x14ac:dyDescent="0.25">
      <c r="A4340" t="str">
        <f>"22743260"</f>
        <v>22743260</v>
      </c>
      <c r="B4340" t="s">
        <v>4554</v>
      </c>
      <c r="C4340" t="s">
        <v>7</v>
      </c>
      <c r="D4340" t="str">
        <f t="shared" si="141"/>
        <v>561878</v>
      </c>
      <c r="E4340" t="s">
        <v>4552</v>
      </c>
      <c r="F4340" t="s">
        <v>328</v>
      </c>
    </row>
    <row r="4341" spans="1:6" x14ac:dyDescent="0.25">
      <c r="A4341" t="str">
        <f>"02007584"</f>
        <v>02007584</v>
      </c>
      <c r="B4341" t="s">
        <v>4555</v>
      </c>
      <c r="C4341" t="s">
        <v>7</v>
      </c>
      <c r="D4341" t="str">
        <f t="shared" si="141"/>
        <v>561878</v>
      </c>
      <c r="E4341" t="s">
        <v>4552</v>
      </c>
      <c r="F4341" t="s">
        <v>35</v>
      </c>
    </row>
    <row r="4342" spans="1:6" x14ac:dyDescent="0.25">
      <c r="A4342" t="str">
        <f>"63778726"</f>
        <v>63778726</v>
      </c>
      <c r="B4342" t="s">
        <v>4556</v>
      </c>
      <c r="C4342" t="s">
        <v>15</v>
      </c>
      <c r="D4342" t="str">
        <f t="shared" si="141"/>
        <v>561878</v>
      </c>
      <c r="E4342" t="s">
        <v>4552</v>
      </c>
      <c r="F4342" t="s">
        <v>16</v>
      </c>
    </row>
    <row r="4343" spans="1:6" x14ac:dyDescent="0.25">
      <c r="A4343" t="str">
        <f>"46750703"</f>
        <v>46750703</v>
      </c>
      <c r="B4343" t="s">
        <v>4557</v>
      </c>
      <c r="C4343" t="s">
        <v>7</v>
      </c>
      <c r="D4343" t="str">
        <f t="shared" si="141"/>
        <v>561878</v>
      </c>
      <c r="E4343" t="s">
        <v>4552</v>
      </c>
      <c r="F4343" t="s">
        <v>9</v>
      </c>
    </row>
    <row r="4344" spans="1:6" x14ac:dyDescent="0.25">
      <c r="A4344" t="str">
        <f>"06096433"</f>
        <v>06096433</v>
      </c>
      <c r="B4344" t="s">
        <v>4558</v>
      </c>
      <c r="C4344" t="s">
        <v>7</v>
      </c>
      <c r="D4344" t="str">
        <f t="shared" si="141"/>
        <v>561878</v>
      </c>
      <c r="E4344" t="s">
        <v>4552</v>
      </c>
      <c r="F4344" t="s">
        <v>13</v>
      </c>
    </row>
    <row r="4345" spans="1:6" x14ac:dyDescent="0.25">
      <c r="A4345" t="str">
        <f>"04752481"</f>
        <v>04752481</v>
      </c>
      <c r="B4345" t="s">
        <v>4559</v>
      </c>
      <c r="C4345" t="s">
        <v>7</v>
      </c>
      <c r="D4345" t="str">
        <f t="shared" ref="D4345:D4350" si="142">"577359"</f>
        <v>577359</v>
      </c>
      <c r="E4345" t="s">
        <v>4560</v>
      </c>
      <c r="F4345" t="s">
        <v>29</v>
      </c>
    </row>
    <row r="4346" spans="1:6" x14ac:dyDescent="0.25">
      <c r="A4346" t="str">
        <f>"26598248"</f>
        <v>26598248</v>
      </c>
      <c r="B4346" t="s">
        <v>4561</v>
      </c>
      <c r="C4346" t="s">
        <v>7</v>
      </c>
      <c r="D4346" t="str">
        <f t="shared" si="142"/>
        <v>577359</v>
      </c>
      <c r="E4346" t="s">
        <v>4560</v>
      </c>
      <c r="F4346" t="s">
        <v>11</v>
      </c>
    </row>
    <row r="4347" spans="1:6" x14ac:dyDescent="0.25">
      <c r="A4347" t="str">
        <f>"15045374"</f>
        <v>15045374</v>
      </c>
      <c r="B4347" t="s">
        <v>4562</v>
      </c>
      <c r="C4347" t="s">
        <v>15</v>
      </c>
      <c r="D4347" t="str">
        <f t="shared" si="142"/>
        <v>577359</v>
      </c>
      <c r="E4347" t="s">
        <v>4560</v>
      </c>
      <c r="F4347" t="s">
        <v>11</v>
      </c>
    </row>
    <row r="4348" spans="1:6" x14ac:dyDescent="0.25">
      <c r="A4348" t="str">
        <f>"70150443"</f>
        <v>70150443</v>
      </c>
      <c r="B4348" t="s">
        <v>4563</v>
      </c>
      <c r="C4348" t="s">
        <v>7</v>
      </c>
      <c r="D4348" t="str">
        <f t="shared" si="142"/>
        <v>577359</v>
      </c>
      <c r="E4348" t="s">
        <v>4560</v>
      </c>
      <c r="F4348" t="s">
        <v>11</v>
      </c>
    </row>
    <row r="4349" spans="1:6" x14ac:dyDescent="0.25">
      <c r="A4349" t="str">
        <f>"70826749"</f>
        <v>70826749</v>
      </c>
      <c r="B4349" t="s">
        <v>4564</v>
      </c>
      <c r="C4349" t="s">
        <v>7</v>
      </c>
      <c r="D4349" t="str">
        <f t="shared" si="142"/>
        <v>577359</v>
      </c>
      <c r="E4349" t="s">
        <v>4560</v>
      </c>
      <c r="F4349" t="s">
        <v>65</v>
      </c>
    </row>
    <row r="4350" spans="1:6" x14ac:dyDescent="0.25">
      <c r="A4350" t="str">
        <f>"49295241"</f>
        <v>49295241</v>
      </c>
      <c r="B4350" t="s">
        <v>4565</v>
      </c>
      <c r="C4350" t="s">
        <v>15</v>
      </c>
      <c r="D4350" t="str">
        <f t="shared" si="142"/>
        <v>577359</v>
      </c>
      <c r="E4350" t="s">
        <v>4560</v>
      </c>
      <c r="F4350" t="s">
        <v>29</v>
      </c>
    </row>
    <row r="4351" spans="1:6" x14ac:dyDescent="0.25">
      <c r="A4351" t="str">
        <f>"61379093"</f>
        <v>61379093</v>
      </c>
      <c r="B4351" t="s">
        <v>4566</v>
      </c>
      <c r="C4351" t="s">
        <v>7</v>
      </c>
      <c r="D4351" t="str">
        <f t="shared" ref="D4351:D4356" si="143">"561886"</f>
        <v>561886</v>
      </c>
      <c r="E4351" t="s">
        <v>4567</v>
      </c>
      <c r="F4351" t="s">
        <v>18</v>
      </c>
    </row>
    <row r="4352" spans="1:6" x14ac:dyDescent="0.25">
      <c r="A4352" t="str">
        <f>"48282413"</f>
        <v>48282413</v>
      </c>
      <c r="B4352" t="s">
        <v>4568</v>
      </c>
      <c r="C4352" t="s">
        <v>7</v>
      </c>
      <c r="D4352" t="str">
        <f t="shared" si="143"/>
        <v>561886</v>
      </c>
      <c r="E4352" t="s">
        <v>4567</v>
      </c>
      <c r="F4352" t="s">
        <v>38</v>
      </c>
    </row>
    <row r="4353" spans="1:6" x14ac:dyDescent="0.25">
      <c r="A4353" t="str">
        <f>"22833706"</f>
        <v>22833706</v>
      </c>
      <c r="B4353" t="s">
        <v>4569</v>
      </c>
      <c r="C4353" t="s">
        <v>7</v>
      </c>
      <c r="D4353" t="str">
        <f t="shared" si="143"/>
        <v>561886</v>
      </c>
      <c r="E4353" t="s">
        <v>4567</v>
      </c>
      <c r="F4353" t="s">
        <v>11</v>
      </c>
    </row>
    <row r="4354" spans="1:6" x14ac:dyDescent="0.25">
      <c r="A4354" t="str">
        <f>"09746412"</f>
        <v>09746412</v>
      </c>
      <c r="B4354" t="s">
        <v>4570</v>
      </c>
      <c r="C4354" t="s">
        <v>7</v>
      </c>
      <c r="D4354" t="str">
        <f t="shared" si="143"/>
        <v>561886</v>
      </c>
      <c r="E4354" t="s">
        <v>4567</v>
      </c>
      <c r="F4354" t="s">
        <v>13</v>
      </c>
    </row>
    <row r="4355" spans="1:6" x14ac:dyDescent="0.25">
      <c r="A4355" t="str">
        <f>"49864165"</f>
        <v>49864165</v>
      </c>
      <c r="B4355" t="s">
        <v>4571</v>
      </c>
      <c r="C4355" t="s">
        <v>7</v>
      </c>
      <c r="D4355" t="str">
        <f t="shared" si="143"/>
        <v>561886</v>
      </c>
      <c r="E4355" t="s">
        <v>4567</v>
      </c>
      <c r="F4355" t="s">
        <v>9</v>
      </c>
    </row>
    <row r="4356" spans="1:6" x14ac:dyDescent="0.25">
      <c r="A4356" t="str">
        <f>"62237497"</f>
        <v>62237497</v>
      </c>
      <c r="B4356" t="s">
        <v>4572</v>
      </c>
      <c r="C4356" t="s">
        <v>7</v>
      </c>
      <c r="D4356" t="str">
        <f t="shared" si="143"/>
        <v>561886</v>
      </c>
      <c r="E4356" t="s">
        <v>4567</v>
      </c>
      <c r="F4356" t="s">
        <v>139</v>
      </c>
    </row>
    <row r="4357" spans="1:6" x14ac:dyDescent="0.25">
      <c r="A4357" t="str">
        <f>"62237501"</f>
        <v>62237501</v>
      </c>
      <c r="B4357" t="s">
        <v>4573</v>
      </c>
      <c r="C4357" t="s">
        <v>15</v>
      </c>
      <c r="D4357" t="str">
        <f t="shared" ref="D4357:D4368" si="144">"561894"</f>
        <v>561894</v>
      </c>
      <c r="E4357" t="s">
        <v>4574</v>
      </c>
      <c r="F4357" t="s">
        <v>29</v>
      </c>
    </row>
    <row r="4358" spans="1:6" x14ac:dyDescent="0.25">
      <c r="A4358" t="str">
        <f>"01467859"</f>
        <v>01467859</v>
      </c>
      <c r="B4358" t="s">
        <v>4575</v>
      </c>
      <c r="C4358" t="s">
        <v>7</v>
      </c>
      <c r="D4358" t="str">
        <f t="shared" si="144"/>
        <v>561894</v>
      </c>
      <c r="E4358" t="s">
        <v>4574</v>
      </c>
      <c r="F4358" t="s">
        <v>328</v>
      </c>
    </row>
    <row r="4359" spans="1:6" x14ac:dyDescent="0.25">
      <c r="A4359" t="str">
        <f>"04521048"</f>
        <v>04521048</v>
      </c>
      <c r="B4359" t="s">
        <v>4576</v>
      </c>
      <c r="C4359" t="s">
        <v>7</v>
      </c>
      <c r="D4359" t="str">
        <f t="shared" si="144"/>
        <v>561894</v>
      </c>
      <c r="E4359" t="s">
        <v>4574</v>
      </c>
      <c r="F4359" t="s">
        <v>11</v>
      </c>
    </row>
    <row r="4360" spans="1:6" x14ac:dyDescent="0.25">
      <c r="A4360" t="str">
        <f>"70904189"</f>
        <v>70904189</v>
      </c>
      <c r="B4360" t="s">
        <v>4577</v>
      </c>
      <c r="C4360" t="s">
        <v>15</v>
      </c>
      <c r="D4360" t="str">
        <f t="shared" si="144"/>
        <v>561894</v>
      </c>
      <c r="E4360" t="s">
        <v>4574</v>
      </c>
      <c r="F4360" t="s">
        <v>35</v>
      </c>
    </row>
    <row r="4361" spans="1:6" x14ac:dyDescent="0.25">
      <c r="A4361" t="str">
        <f>"08202761"</f>
        <v>08202761</v>
      </c>
      <c r="B4361" t="s">
        <v>4578</v>
      </c>
      <c r="C4361" t="s">
        <v>7</v>
      </c>
      <c r="D4361" t="str">
        <f t="shared" si="144"/>
        <v>561894</v>
      </c>
      <c r="E4361" t="s">
        <v>4574</v>
      </c>
      <c r="F4361" t="s">
        <v>11</v>
      </c>
    </row>
    <row r="4362" spans="1:6" x14ac:dyDescent="0.25">
      <c r="A4362" t="str">
        <f>"71194428"</f>
        <v>71194428</v>
      </c>
      <c r="B4362" t="s">
        <v>4579</v>
      </c>
      <c r="C4362" t="s">
        <v>15</v>
      </c>
      <c r="D4362" t="str">
        <f t="shared" si="144"/>
        <v>561894</v>
      </c>
      <c r="E4362" t="s">
        <v>4574</v>
      </c>
      <c r="F4362" t="s">
        <v>65</v>
      </c>
    </row>
    <row r="4363" spans="1:6" x14ac:dyDescent="0.25">
      <c r="A4363" t="str">
        <f>"26663724"</f>
        <v>26663724</v>
      </c>
      <c r="B4363" t="s">
        <v>4580</v>
      </c>
      <c r="C4363" t="s">
        <v>7</v>
      </c>
      <c r="D4363" t="str">
        <f t="shared" si="144"/>
        <v>561894</v>
      </c>
      <c r="E4363" t="s">
        <v>4574</v>
      </c>
      <c r="F4363" t="s">
        <v>9</v>
      </c>
    </row>
    <row r="4364" spans="1:6" x14ac:dyDescent="0.25">
      <c r="A4364" t="str">
        <f>"22749896"</f>
        <v>22749896</v>
      </c>
      <c r="B4364" t="s">
        <v>4581</v>
      </c>
      <c r="C4364" t="s">
        <v>7</v>
      </c>
      <c r="D4364" t="str">
        <f t="shared" si="144"/>
        <v>561894</v>
      </c>
      <c r="E4364" t="s">
        <v>4574</v>
      </c>
      <c r="F4364" t="s">
        <v>29</v>
      </c>
    </row>
    <row r="4365" spans="1:6" x14ac:dyDescent="0.25">
      <c r="A4365" t="str">
        <f>"27040542"</f>
        <v>27040542</v>
      </c>
      <c r="B4365" t="s">
        <v>4582</v>
      </c>
      <c r="C4365" t="s">
        <v>7</v>
      </c>
      <c r="D4365" t="str">
        <f t="shared" si="144"/>
        <v>561894</v>
      </c>
      <c r="E4365" t="s">
        <v>4574</v>
      </c>
      <c r="F4365" t="s">
        <v>11</v>
      </c>
    </row>
    <row r="4366" spans="1:6" x14ac:dyDescent="0.25">
      <c r="A4366" t="str">
        <f>"08047111"</f>
        <v>08047111</v>
      </c>
      <c r="B4366" t="s">
        <v>4583</v>
      </c>
      <c r="C4366" t="s">
        <v>7</v>
      </c>
      <c r="D4366" t="str">
        <f t="shared" si="144"/>
        <v>561894</v>
      </c>
      <c r="E4366" t="s">
        <v>4574</v>
      </c>
      <c r="F4366" t="s">
        <v>29</v>
      </c>
    </row>
    <row r="4367" spans="1:6" x14ac:dyDescent="0.25">
      <c r="A4367" t="str">
        <f>"26624753"</f>
        <v>26624753</v>
      </c>
      <c r="B4367" t="s">
        <v>4584</v>
      </c>
      <c r="C4367" t="s">
        <v>7</v>
      </c>
      <c r="D4367" t="str">
        <f t="shared" si="144"/>
        <v>561894</v>
      </c>
      <c r="E4367" t="s">
        <v>4574</v>
      </c>
      <c r="F4367" t="s">
        <v>9</v>
      </c>
    </row>
    <row r="4368" spans="1:6" x14ac:dyDescent="0.25">
      <c r="A4368" t="str">
        <f>"08199825"</f>
        <v>08199825</v>
      </c>
      <c r="B4368" t="s">
        <v>4585</v>
      </c>
      <c r="C4368" t="s">
        <v>7</v>
      </c>
      <c r="D4368" t="str">
        <f t="shared" si="144"/>
        <v>561894</v>
      </c>
      <c r="E4368" t="s">
        <v>4574</v>
      </c>
      <c r="F4368" t="s">
        <v>11</v>
      </c>
    </row>
    <row r="4369" spans="1:6" x14ac:dyDescent="0.25">
      <c r="A4369" t="str">
        <f>"27017052"</f>
        <v>27017052</v>
      </c>
      <c r="B4369" t="s">
        <v>4586</v>
      </c>
      <c r="C4369" t="s">
        <v>7</v>
      </c>
      <c r="D4369" t="str">
        <f t="shared" ref="D4369:D4380" si="145">"564281"</f>
        <v>564281</v>
      </c>
      <c r="E4369" t="s">
        <v>4587</v>
      </c>
      <c r="F4369" t="s">
        <v>35</v>
      </c>
    </row>
    <row r="4370" spans="1:6" x14ac:dyDescent="0.25">
      <c r="A4370" t="str">
        <f>"25430475"</f>
        <v>25430475</v>
      </c>
      <c r="B4370" t="s">
        <v>4588</v>
      </c>
      <c r="C4370" t="s">
        <v>27</v>
      </c>
      <c r="D4370" t="str">
        <f t="shared" si="145"/>
        <v>564281</v>
      </c>
      <c r="E4370" t="s">
        <v>4587</v>
      </c>
      <c r="F4370" t="s">
        <v>3371</v>
      </c>
    </row>
    <row r="4371" spans="1:6" x14ac:dyDescent="0.25">
      <c r="A4371" t="str">
        <f>"65081463"</f>
        <v>65081463</v>
      </c>
      <c r="B4371" t="s">
        <v>4589</v>
      </c>
      <c r="C4371" t="s">
        <v>7</v>
      </c>
      <c r="D4371" t="str">
        <f t="shared" si="145"/>
        <v>564281</v>
      </c>
      <c r="E4371" t="s">
        <v>4587</v>
      </c>
      <c r="F4371" t="s">
        <v>424</v>
      </c>
    </row>
    <row r="4372" spans="1:6" x14ac:dyDescent="0.25">
      <c r="A4372" t="str">
        <f>"02895293"</f>
        <v>02895293</v>
      </c>
      <c r="B4372" t="s">
        <v>4590</v>
      </c>
      <c r="C4372" t="s">
        <v>7</v>
      </c>
      <c r="D4372" t="str">
        <f t="shared" si="145"/>
        <v>564281</v>
      </c>
      <c r="E4372" t="s">
        <v>4587</v>
      </c>
      <c r="F4372" t="s">
        <v>11</v>
      </c>
    </row>
    <row r="4373" spans="1:6" x14ac:dyDescent="0.25">
      <c r="A4373" t="str">
        <f>"01996461"</f>
        <v>01996461</v>
      </c>
      <c r="B4373" t="s">
        <v>4591</v>
      </c>
      <c r="C4373" t="s">
        <v>7</v>
      </c>
      <c r="D4373" t="str">
        <f t="shared" si="145"/>
        <v>564281</v>
      </c>
      <c r="E4373" t="s">
        <v>4587</v>
      </c>
      <c r="F4373" t="s">
        <v>38</v>
      </c>
    </row>
    <row r="4374" spans="1:6" x14ac:dyDescent="0.25">
      <c r="A4374" t="str">
        <f>"28558103"</f>
        <v>28558103</v>
      </c>
      <c r="B4374" t="s">
        <v>4592</v>
      </c>
      <c r="C4374" t="s">
        <v>7</v>
      </c>
      <c r="D4374" t="str">
        <f t="shared" si="145"/>
        <v>564281</v>
      </c>
      <c r="E4374" t="s">
        <v>4587</v>
      </c>
      <c r="F4374" t="s">
        <v>9</v>
      </c>
    </row>
    <row r="4375" spans="1:6" x14ac:dyDescent="0.25">
      <c r="A4375" t="str">
        <f>"22609253"</f>
        <v>22609253</v>
      </c>
      <c r="B4375" t="s">
        <v>4593</v>
      </c>
      <c r="C4375" t="s">
        <v>7</v>
      </c>
      <c r="D4375" t="str">
        <f t="shared" si="145"/>
        <v>564281</v>
      </c>
      <c r="E4375" t="s">
        <v>4587</v>
      </c>
      <c r="F4375" t="s">
        <v>11</v>
      </c>
    </row>
    <row r="4376" spans="1:6" x14ac:dyDescent="0.25">
      <c r="A4376" t="str">
        <f>"64039269"</f>
        <v>64039269</v>
      </c>
      <c r="B4376" t="s">
        <v>4594</v>
      </c>
      <c r="C4376" t="s">
        <v>15</v>
      </c>
      <c r="D4376" t="str">
        <f t="shared" si="145"/>
        <v>564281</v>
      </c>
      <c r="E4376" t="s">
        <v>4587</v>
      </c>
      <c r="F4376" t="s">
        <v>16</v>
      </c>
    </row>
    <row r="4377" spans="1:6" x14ac:dyDescent="0.25">
      <c r="A4377" t="str">
        <f>"25419358"</f>
        <v>25419358</v>
      </c>
      <c r="B4377" t="s">
        <v>4595</v>
      </c>
      <c r="C4377" t="s">
        <v>27</v>
      </c>
      <c r="D4377" t="str">
        <f t="shared" si="145"/>
        <v>564281</v>
      </c>
      <c r="E4377" t="s">
        <v>4587</v>
      </c>
      <c r="F4377" t="s">
        <v>18</v>
      </c>
    </row>
    <row r="4378" spans="1:6" x14ac:dyDescent="0.25">
      <c r="A4378" t="str">
        <f>"46744169"</f>
        <v>46744169</v>
      </c>
      <c r="B4378" t="s">
        <v>4596</v>
      </c>
      <c r="C4378" t="s">
        <v>7</v>
      </c>
      <c r="D4378" t="str">
        <f t="shared" si="145"/>
        <v>564281</v>
      </c>
      <c r="E4378" t="s">
        <v>4587</v>
      </c>
      <c r="F4378" t="s">
        <v>9</v>
      </c>
    </row>
    <row r="4379" spans="1:6" x14ac:dyDescent="0.25">
      <c r="A4379" t="str">
        <f>"05384575"</f>
        <v>05384575</v>
      </c>
      <c r="B4379" t="s">
        <v>4597</v>
      </c>
      <c r="C4379" t="s">
        <v>7</v>
      </c>
      <c r="D4379" t="str">
        <f t="shared" si="145"/>
        <v>564281</v>
      </c>
      <c r="E4379" t="s">
        <v>4587</v>
      </c>
      <c r="F4379" t="s">
        <v>4598</v>
      </c>
    </row>
    <row r="4380" spans="1:6" x14ac:dyDescent="0.25">
      <c r="A4380" t="str">
        <f>"01709631"</f>
        <v>01709631</v>
      </c>
      <c r="B4380" t="s">
        <v>4599</v>
      </c>
      <c r="C4380" t="s">
        <v>7</v>
      </c>
      <c r="D4380" t="str">
        <f t="shared" si="145"/>
        <v>564281</v>
      </c>
      <c r="E4380" t="s">
        <v>4587</v>
      </c>
      <c r="F4380" t="s">
        <v>11</v>
      </c>
    </row>
    <row r="4381" spans="1:6" x14ac:dyDescent="0.25">
      <c r="A4381" t="str">
        <f>"09293515"</f>
        <v>09293515</v>
      </c>
      <c r="B4381" t="s">
        <v>4600</v>
      </c>
      <c r="C4381" t="s">
        <v>7</v>
      </c>
      <c r="D4381" t="str">
        <f>"577367"</f>
        <v>577367</v>
      </c>
      <c r="E4381" t="s">
        <v>4601</v>
      </c>
      <c r="F4381" t="s">
        <v>35</v>
      </c>
    </row>
    <row r="4382" spans="1:6" x14ac:dyDescent="0.25">
      <c r="A4382" t="str">
        <f>"27025489"</f>
        <v>27025489</v>
      </c>
      <c r="B4382" t="s">
        <v>4602</v>
      </c>
      <c r="C4382" t="s">
        <v>7</v>
      </c>
      <c r="D4382" t="str">
        <f>"577367"</f>
        <v>577367</v>
      </c>
      <c r="E4382" t="s">
        <v>4601</v>
      </c>
      <c r="F4382" t="s">
        <v>328</v>
      </c>
    </row>
    <row r="4383" spans="1:6" x14ac:dyDescent="0.25">
      <c r="A4383" t="str">
        <f>"62013408"</f>
        <v>62013408</v>
      </c>
      <c r="B4383" t="s">
        <v>4603</v>
      </c>
      <c r="C4383" t="s">
        <v>15</v>
      </c>
      <c r="D4383" t="str">
        <f>"577367"</f>
        <v>577367</v>
      </c>
      <c r="E4383" t="s">
        <v>4601</v>
      </c>
      <c r="F4383" t="s">
        <v>16</v>
      </c>
    </row>
    <row r="4384" spans="1:6" x14ac:dyDescent="0.25">
      <c r="A4384" t="str">
        <f>"07071817"</f>
        <v>07071817</v>
      </c>
      <c r="B4384" t="s">
        <v>4604</v>
      </c>
      <c r="C4384" t="s">
        <v>7</v>
      </c>
      <c r="D4384" t="str">
        <f>"577367"</f>
        <v>577367</v>
      </c>
      <c r="E4384" t="s">
        <v>4601</v>
      </c>
      <c r="F4384" t="s">
        <v>11</v>
      </c>
    </row>
    <row r="4385" spans="1:6" x14ac:dyDescent="0.25">
      <c r="A4385" t="str">
        <f>"26632811"</f>
        <v>26632811</v>
      </c>
      <c r="B4385" t="s">
        <v>4605</v>
      </c>
      <c r="C4385" t="s">
        <v>7</v>
      </c>
      <c r="D4385" t="str">
        <f t="shared" ref="D4385:D4409" si="146">"564290"</f>
        <v>564290</v>
      </c>
      <c r="E4385" t="s">
        <v>4606</v>
      </c>
      <c r="F4385" t="s">
        <v>11</v>
      </c>
    </row>
    <row r="4386" spans="1:6" x14ac:dyDescent="0.25">
      <c r="A4386" t="str">
        <f>"27057755"</f>
        <v>27057755</v>
      </c>
      <c r="B4386" t="s">
        <v>4607</v>
      </c>
      <c r="C4386" t="s">
        <v>7</v>
      </c>
      <c r="D4386" t="str">
        <f t="shared" si="146"/>
        <v>564290</v>
      </c>
      <c r="E4386" t="s">
        <v>4606</v>
      </c>
      <c r="F4386" t="s">
        <v>424</v>
      </c>
    </row>
    <row r="4387" spans="1:6" x14ac:dyDescent="0.25">
      <c r="A4387" t="str">
        <f>"00482749"</f>
        <v>00482749</v>
      </c>
      <c r="B4387" t="s">
        <v>4608</v>
      </c>
      <c r="C4387" t="s">
        <v>15</v>
      </c>
      <c r="D4387" t="str">
        <f t="shared" si="146"/>
        <v>564290</v>
      </c>
      <c r="E4387" t="s">
        <v>4606</v>
      </c>
      <c r="F4387" t="s">
        <v>11</v>
      </c>
    </row>
    <row r="4388" spans="1:6" x14ac:dyDescent="0.25">
      <c r="A4388" t="str">
        <f>"46749357"</f>
        <v>46749357</v>
      </c>
      <c r="B4388" t="s">
        <v>4609</v>
      </c>
      <c r="C4388" t="s">
        <v>15</v>
      </c>
      <c r="D4388" t="str">
        <f t="shared" si="146"/>
        <v>564290</v>
      </c>
      <c r="E4388" t="s">
        <v>4606</v>
      </c>
      <c r="F4388" t="s">
        <v>11</v>
      </c>
    </row>
    <row r="4389" spans="1:6" x14ac:dyDescent="0.25">
      <c r="A4389" t="str">
        <f>"09080775"</f>
        <v>09080775</v>
      </c>
      <c r="B4389" t="s">
        <v>4610</v>
      </c>
      <c r="C4389" t="s">
        <v>7</v>
      </c>
      <c r="D4389" t="str">
        <f t="shared" si="146"/>
        <v>564290</v>
      </c>
      <c r="E4389" t="s">
        <v>4606</v>
      </c>
      <c r="F4389" t="s">
        <v>11</v>
      </c>
    </row>
    <row r="4390" spans="1:6" x14ac:dyDescent="0.25">
      <c r="A4390" t="str">
        <f>"26573334"</f>
        <v>26573334</v>
      </c>
      <c r="B4390" t="s">
        <v>4611</v>
      </c>
      <c r="C4390" t="s">
        <v>7</v>
      </c>
      <c r="D4390" t="str">
        <f t="shared" si="146"/>
        <v>564290</v>
      </c>
      <c r="E4390" t="s">
        <v>4606</v>
      </c>
      <c r="F4390" t="s">
        <v>11</v>
      </c>
    </row>
    <row r="4391" spans="1:6" x14ac:dyDescent="0.25">
      <c r="A4391" t="str">
        <f>"46745441"</f>
        <v>46745441</v>
      </c>
      <c r="B4391" t="s">
        <v>4612</v>
      </c>
      <c r="C4391" t="s">
        <v>37</v>
      </c>
      <c r="D4391" t="str">
        <f t="shared" si="146"/>
        <v>564290</v>
      </c>
      <c r="E4391" t="s">
        <v>4606</v>
      </c>
      <c r="F4391" t="s">
        <v>38</v>
      </c>
    </row>
    <row r="4392" spans="1:6" x14ac:dyDescent="0.25">
      <c r="A4392" t="str">
        <f>"75036720"</f>
        <v>75036720</v>
      </c>
      <c r="B4392" t="s">
        <v>4613</v>
      </c>
      <c r="C4392" t="s">
        <v>37</v>
      </c>
      <c r="D4392" t="str">
        <f t="shared" si="146"/>
        <v>564290</v>
      </c>
      <c r="E4392" t="s">
        <v>4606</v>
      </c>
      <c r="F4392" t="s">
        <v>38</v>
      </c>
    </row>
    <row r="4393" spans="1:6" x14ac:dyDescent="0.25">
      <c r="A4393" t="str">
        <f>"46747273"</f>
        <v>46747273</v>
      </c>
      <c r="B4393" t="s">
        <v>4614</v>
      </c>
      <c r="C4393" t="s">
        <v>7</v>
      </c>
      <c r="D4393" t="str">
        <f t="shared" si="146"/>
        <v>564290</v>
      </c>
      <c r="E4393" t="s">
        <v>4606</v>
      </c>
      <c r="F4393" t="s">
        <v>38</v>
      </c>
    </row>
    <row r="4394" spans="1:6" x14ac:dyDescent="0.25">
      <c r="A4394" t="str">
        <f>"04689003"</f>
        <v>04689003</v>
      </c>
      <c r="B4394" t="s">
        <v>4615</v>
      </c>
      <c r="C4394" t="s">
        <v>7</v>
      </c>
      <c r="D4394" t="str">
        <f t="shared" si="146"/>
        <v>564290</v>
      </c>
      <c r="E4394" t="s">
        <v>4606</v>
      </c>
      <c r="F4394" t="s">
        <v>38</v>
      </c>
    </row>
    <row r="4395" spans="1:6" x14ac:dyDescent="0.25">
      <c r="A4395" t="str">
        <f>"46747281"</f>
        <v>46747281</v>
      </c>
      <c r="B4395" t="s">
        <v>4616</v>
      </c>
      <c r="C4395" t="s">
        <v>7</v>
      </c>
      <c r="D4395" t="str">
        <f t="shared" si="146"/>
        <v>564290</v>
      </c>
      <c r="E4395" t="s">
        <v>4606</v>
      </c>
      <c r="F4395" t="s">
        <v>38</v>
      </c>
    </row>
    <row r="4396" spans="1:6" x14ac:dyDescent="0.25">
      <c r="A4396" t="str">
        <f>"70583013"</f>
        <v>70583013</v>
      </c>
      <c r="B4396" t="s">
        <v>4617</v>
      </c>
      <c r="C4396" t="s">
        <v>7</v>
      </c>
      <c r="D4396" t="str">
        <f t="shared" si="146"/>
        <v>564290</v>
      </c>
      <c r="E4396" t="s">
        <v>4606</v>
      </c>
      <c r="F4396" t="s">
        <v>11</v>
      </c>
    </row>
    <row r="4397" spans="1:6" x14ac:dyDescent="0.25">
      <c r="A4397" t="str">
        <f>"22713115"</f>
        <v>22713115</v>
      </c>
      <c r="B4397" t="s">
        <v>4618</v>
      </c>
      <c r="C4397" t="s">
        <v>7</v>
      </c>
      <c r="D4397" t="str">
        <f t="shared" si="146"/>
        <v>564290</v>
      </c>
      <c r="E4397" t="s">
        <v>4606</v>
      </c>
      <c r="F4397" t="s">
        <v>11</v>
      </c>
    </row>
    <row r="4398" spans="1:6" x14ac:dyDescent="0.25">
      <c r="A4398" t="str">
        <f>"26557380"</f>
        <v>26557380</v>
      </c>
      <c r="B4398" t="s">
        <v>4619</v>
      </c>
      <c r="C4398" t="s">
        <v>7</v>
      </c>
      <c r="D4398" t="str">
        <f t="shared" si="146"/>
        <v>564290</v>
      </c>
      <c r="E4398" t="s">
        <v>4606</v>
      </c>
      <c r="F4398" t="s">
        <v>18</v>
      </c>
    </row>
    <row r="4399" spans="1:6" x14ac:dyDescent="0.25">
      <c r="A4399" t="str">
        <f>"69388628"</f>
        <v>69388628</v>
      </c>
      <c r="B4399" t="s">
        <v>4620</v>
      </c>
      <c r="C4399" t="s">
        <v>7</v>
      </c>
      <c r="D4399" t="str">
        <f t="shared" si="146"/>
        <v>564290</v>
      </c>
      <c r="E4399" t="s">
        <v>4606</v>
      </c>
      <c r="F4399" t="s">
        <v>11</v>
      </c>
    </row>
    <row r="4400" spans="1:6" x14ac:dyDescent="0.25">
      <c r="A4400" t="str">
        <f>"49112198"</f>
        <v>49112198</v>
      </c>
      <c r="B4400" t="s">
        <v>4621</v>
      </c>
      <c r="C4400" t="s">
        <v>15</v>
      </c>
      <c r="D4400" t="str">
        <f t="shared" si="146"/>
        <v>564290</v>
      </c>
      <c r="E4400" t="s">
        <v>4606</v>
      </c>
      <c r="F4400" t="s">
        <v>16</v>
      </c>
    </row>
    <row r="4401" spans="1:6" x14ac:dyDescent="0.25">
      <c r="A4401" t="str">
        <f>"70868743"</f>
        <v>70868743</v>
      </c>
      <c r="B4401" t="s">
        <v>4622</v>
      </c>
      <c r="C4401" t="s">
        <v>15</v>
      </c>
      <c r="D4401" t="str">
        <f t="shared" si="146"/>
        <v>564290</v>
      </c>
      <c r="E4401" t="s">
        <v>4606</v>
      </c>
      <c r="F4401" t="s">
        <v>16</v>
      </c>
    </row>
    <row r="4402" spans="1:6" x14ac:dyDescent="0.25">
      <c r="A4402" t="str">
        <f>"46745785"</f>
        <v>46745785</v>
      </c>
      <c r="B4402" t="s">
        <v>4623</v>
      </c>
      <c r="C4402" t="s">
        <v>7</v>
      </c>
      <c r="D4402" t="str">
        <f t="shared" si="146"/>
        <v>564290</v>
      </c>
      <c r="E4402" t="s">
        <v>4606</v>
      </c>
      <c r="F4402" t="s">
        <v>35</v>
      </c>
    </row>
    <row r="4403" spans="1:6" x14ac:dyDescent="0.25">
      <c r="A4403" t="str">
        <f>"68974540"</f>
        <v>68974540</v>
      </c>
      <c r="B4403" t="s">
        <v>4624</v>
      </c>
      <c r="C4403" t="s">
        <v>7</v>
      </c>
      <c r="D4403" t="str">
        <f t="shared" si="146"/>
        <v>564290</v>
      </c>
      <c r="E4403" t="s">
        <v>4606</v>
      </c>
      <c r="F4403" t="s">
        <v>35</v>
      </c>
    </row>
    <row r="4404" spans="1:6" x14ac:dyDescent="0.25">
      <c r="A4404" t="str">
        <f>"26578549"</f>
        <v>26578549</v>
      </c>
      <c r="B4404" t="s">
        <v>4625</v>
      </c>
      <c r="C4404" t="s">
        <v>7</v>
      </c>
      <c r="D4404" t="str">
        <f t="shared" si="146"/>
        <v>564290</v>
      </c>
      <c r="E4404" t="s">
        <v>4606</v>
      </c>
      <c r="F4404" t="s">
        <v>13</v>
      </c>
    </row>
    <row r="4405" spans="1:6" x14ac:dyDescent="0.25">
      <c r="A4405" t="str">
        <f>"06142745"</f>
        <v>06142745</v>
      </c>
      <c r="B4405" t="s">
        <v>4626</v>
      </c>
      <c r="C4405" t="s">
        <v>7</v>
      </c>
      <c r="D4405" t="str">
        <f t="shared" si="146"/>
        <v>564290</v>
      </c>
      <c r="E4405" t="s">
        <v>4606</v>
      </c>
      <c r="F4405" t="s">
        <v>35</v>
      </c>
    </row>
    <row r="4406" spans="1:6" x14ac:dyDescent="0.25">
      <c r="A4406" t="str">
        <f>"01541714"</f>
        <v>01541714</v>
      </c>
      <c r="B4406" t="s">
        <v>4627</v>
      </c>
      <c r="C4406" t="s">
        <v>7</v>
      </c>
      <c r="D4406" t="str">
        <f t="shared" si="146"/>
        <v>564290</v>
      </c>
      <c r="E4406" t="s">
        <v>4606</v>
      </c>
      <c r="F4406" t="s">
        <v>11</v>
      </c>
    </row>
    <row r="4407" spans="1:6" x14ac:dyDescent="0.25">
      <c r="A4407" t="str">
        <f>"09742433"</f>
        <v>09742433</v>
      </c>
      <c r="B4407" t="s">
        <v>4628</v>
      </c>
      <c r="C4407" t="s">
        <v>7</v>
      </c>
      <c r="D4407" t="str">
        <f t="shared" si="146"/>
        <v>564290</v>
      </c>
      <c r="E4407" t="s">
        <v>4606</v>
      </c>
      <c r="F4407" t="s">
        <v>62</v>
      </c>
    </row>
    <row r="4408" spans="1:6" x14ac:dyDescent="0.25">
      <c r="A4408" t="str">
        <f>"70200858"</f>
        <v>70200858</v>
      </c>
      <c r="B4408" t="s">
        <v>4629</v>
      </c>
      <c r="C4408" t="s">
        <v>15</v>
      </c>
      <c r="D4408" t="str">
        <f t="shared" si="146"/>
        <v>564290</v>
      </c>
      <c r="E4408" t="s">
        <v>4606</v>
      </c>
      <c r="F4408" t="s">
        <v>29</v>
      </c>
    </row>
    <row r="4409" spans="1:6" x14ac:dyDescent="0.25">
      <c r="A4409" t="str">
        <f>"46749888"</f>
        <v>46749888</v>
      </c>
      <c r="B4409" t="s">
        <v>4630</v>
      </c>
      <c r="C4409" t="s">
        <v>15</v>
      </c>
      <c r="D4409" t="str">
        <f t="shared" si="146"/>
        <v>564290</v>
      </c>
      <c r="E4409" t="s">
        <v>4606</v>
      </c>
      <c r="F4409" t="s">
        <v>11</v>
      </c>
    </row>
    <row r="4410" spans="1:6" x14ac:dyDescent="0.25">
      <c r="A4410" t="str">
        <f>"06718434"</f>
        <v>06718434</v>
      </c>
      <c r="B4410" t="s">
        <v>4631</v>
      </c>
      <c r="C4410" t="s">
        <v>7</v>
      </c>
      <c r="D4410" t="str">
        <f t="shared" ref="D4410:D4415" si="147">"545953"</f>
        <v>545953</v>
      </c>
      <c r="E4410" t="s">
        <v>4632</v>
      </c>
      <c r="F4410" t="s">
        <v>62</v>
      </c>
    </row>
    <row r="4411" spans="1:6" x14ac:dyDescent="0.25">
      <c r="A4411" t="str">
        <f>"22677488"</f>
        <v>22677488</v>
      </c>
      <c r="B4411" t="s">
        <v>4633</v>
      </c>
      <c r="C4411" t="s">
        <v>7</v>
      </c>
      <c r="D4411" t="str">
        <f t="shared" si="147"/>
        <v>545953</v>
      </c>
      <c r="E4411" t="s">
        <v>4632</v>
      </c>
      <c r="F4411" t="s">
        <v>11</v>
      </c>
    </row>
    <row r="4412" spans="1:6" x14ac:dyDescent="0.25">
      <c r="A4412" t="str">
        <f>"64039111"</f>
        <v>64039111</v>
      </c>
      <c r="B4412" t="s">
        <v>4634</v>
      </c>
      <c r="C4412" t="s">
        <v>15</v>
      </c>
      <c r="D4412" t="str">
        <f t="shared" si="147"/>
        <v>545953</v>
      </c>
      <c r="E4412" t="s">
        <v>4632</v>
      </c>
      <c r="F4412" t="s">
        <v>16</v>
      </c>
    </row>
    <row r="4413" spans="1:6" x14ac:dyDescent="0.25">
      <c r="A4413" t="str">
        <f>"04864069"</f>
        <v>04864069</v>
      </c>
      <c r="B4413" t="s">
        <v>4635</v>
      </c>
      <c r="C4413" t="s">
        <v>7</v>
      </c>
      <c r="D4413" t="str">
        <f t="shared" si="147"/>
        <v>545953</v>
      </c>
      <c r="E4413" t="s">
        <v>4632</v>
      </c>
      <c r="F4413" t="s">
        <v>62</v>
      </c>
    </row>
    <row r="4414" spans="1:6" x14ac:dyDescent="0.25">
      <c r="A4414" t="str">
        <f>"27023656"</f>
        <v>27023656</v>
      </c>
      <c r="B4414" t="s">
        <v>4636</v>
      </c>
      <c r="C4414" t="s">
        <v>7</v>
      </c>
      <c r="D4414" t="str">
        <f t="shared" si="147"/>
        <v>545953</v>
      </c>
      <c r="E4414" t="s">
        <v>4632</v>
      </c>
      <c r="F4414" t="s">
        <v>11</v>
      </c>
    </row>
    <row r="4415" spans="1:6" x14ac:dyDescent="0.25">
      <c r="A4415" t="str">
        <f>"09710825"</f>
        <v>09710825</v>
      </c>
      <c r="B4415" t="s">
        <v>4637</v>
      </c>
      <c r="C4415" t="s">
        <v>7</v>
      </c>
      <c r="D4415" t="str">
        <f t="shared" si="147"/>
        <v>545953</v>
      </c>
      <c r="E4415" t="s">
        <v>4632</v>
      </c>
      <c r="F4415" t="s">
        <v>62</v>
      </c>
    </row>
    <row r="4416" spans="1:6" x14ac:dyDescent="0.25">
      <c r="A4416" t="str">
        <f>"02142350"</f>
        <v>02142350</v>
      </c>
      <c r="B4416" t="s">
        <v>4638</v>
      </c>
      <c r="C4416" t="s">
        <v>124</v>
      </c>
      <c r="D4416" t="str">
        <f t="shared" ref="D4416:D4421" si="148">"547476"</f>
        <v>547476</v>
      </c>
      <c r="E4416" t="s">
        <v>4639</v>
      </c>
      <c r="F4416" t="s">
        <v>62</v>
      </c>
    </row>
    <row r="4417" spans="1:6" x14ac:dyDescent="0.25">
      <c r="A4417" t="str">
        <f>"22814540"</f>
        <v>22814540</v>
      </c>
      <c r="B4417" t="s">
        <v>4640</v>
      </c>
      <c r="C4417" t="s">
        <v>7</v>
      </c>
      <c r="D4417" t="str">
        <f t="shared" si="148"/>
        <v>547476</v>
      </c>
      <c r="E4417" t="s">
        <v>4639</v>
      </c>
      <c r="F4417" t="s">
        <v>11</v>
      </c>
    </row>
    <row r="4418" spans="1:6" x14ac:dyDescent="0.25">
      <c r="A4418" t="str">
        <f>"62013840"</f>
        <v>62013840</v>
      </c>
      <c r="B4418" t="s">
        <v>4641</v>
      </c>
      <c r="C4418" t="s">
        <v>15</v>
      </c>
      <c r="D4418" t="str">
        <f t="shared" si="148"/>
        <v>547476</v>
      </c>
      <c r="E4418" t="s">
        <v>4639</v>
      </c>
      <c r="F4418" t="s">
        <v>16</v>
      </c>
    </row>
    <row r="4419" spans="1:6" x14ac:dyDescent="0.25">
      <c r="A4419" t="str">
        <f>"49296094"</f>
        <v>49296094</v>
      </c>
      <c r="B4419" t="s">
        <v>4642</v>
      </c>
      <c r="C4419" t="s">
        <v>7</v>
      </c>
      <c r="D4419" t="str">
        <f t="shared" si="148"/>
        <v>547476</v>
      </c>
      <c r="E4419" t="s">
        <v>4639</v>
      </c>
      <c r="F4419" t="s">
        <v>11</v>
      </c>
    </row>
    <row r="4420" spans="1:6" x14ac:dyDescent="0.25">
      <c r="A4420" t="str">
        <f>"45598746"</f>
        <v>45598746</v>
      </c>
      <c r="B4420" t="s">
        <v>4643</v>
      </c>
      <c r="C4420" t="s">
        <v>15</v>
      </c>
      <c r="D4420" t="str">
        <f t="shared" si="148"/>
        <v>547476</v>
      </c>
      <c r="E4420" t="s">
        <v>4639</v>
      </c>
      <c r="F4420" t="s">
        <v>65</v>
      </c>
    </row>
    <row r="4421" spans="1:6" x14ac:dyDescent="0.25">
      <c r="A4421" t="str">
        <f>"70936935"</f>
        <v>70936935</v>
      </c>
      <c r="B4421" t="s">
        <v>4644</v>
      </c>
      <c r="C4421" t="s">
        <v>20</v>
      </c>
      <c r="D4421" t="str">
        <f t="shared" si="148"/>
        <v>547476</v>
      </c>
      <c r="E4421" t="s">
        <v>4639</v>
      </c>
      <c r="F4421" t="s">
        <v>21</v>
      </c>
    </row>
    <row r="4422" spans="1:6" x14ac:dyDescent="0.25">
      <c r="A4422" t="str">
        <f>"22863435"</f>
        <v>22863435</v>
      </c>
      <c r="B4422" t="s">
        <v>4645</v>
      </c>
      <c r="C4422" t="s">
        <v>7</v>
      </c>
      <c r="D4422" t="str">
        <f t="shared" ref="D4422:D4430" si="149">"564311"</f>
        <v>564311</v>
      </c>
      <c r="E4422" t="s">
        <v>4646</v>
      </c>
      <c r="F4422" t="s">
        <v>11</v>
      </c>
    </row>
    <row r="4423" spans="1:6" x14ac:dyDescent="0.25">
      <c r="A4423" t="str">
        <f>"46746048"</f>
        <v>46746048</v>
      </c>
      <c r="B4423" t="s">
        <v>4647</v>
      </c>
      <c r="C4423" t="s">
        <v>7</v>
      </c>
      <c r="D4423" t="str">
        <f t="shared" si="149"/>
        <v>564311</v>
      </c>
      <c r="E4423" t="s">
        <v>4646</v>
      </c>
      <c r="F4423" t="s">
        <v>38</v>
      </c>
    </row>
    <row r="4424" spans="1:6" x14ac:dyDescent="0.25">
      <c r="A4424" t="str">
        <f>"01827014"</f>
        <v>01827014</v>
      </c>
      <c r="B4424" t="s">
        <v>4648</v>
      </c>
      <c r="C4424" t="s">
        <v>27</v>
      </c>
      <c r="D4424" t="str">
        <f t="shared" si="149"/>
        <v>564311</v>
      </c>
      <c r="E4424" t="s">
        <v>4646</v>
      </c>
      <c r="F4424" t="s">
        <v>254</v>
      </c>
    </row>
    <row r="4425" spans="1:6" x14ac:dyDescent="0.25">
      <c r="A4425" t="str">
        <f>"04932706"</f>
        <v>04932706</v>
      </c>
      <c r="B4425" t="s">
        <v>4649</v>
      </c>
      <c r="C4425" t="s">
        <v>7</v>
      </c>
      <c r="D4425" t="str">
        <f t="shared" si="149"/>
        <v>564311</v>
      </c>
      <c r="E4425" t="s">
        <v>4646</v>
      </c>
      <c r="F4425" t="s">
        <v>62</v>
      </c>
    </row>
    <row r="4426" spans="1:6" x14ac:dyDescent="0.25">
      <c r="A4426" t="str">
        <f>"01982583"</f>
        <v>01982583</v>
      </c>
      <c r="B4426" t="s">
        <v>4650</v>
      </c>
      <c r="C4426" t="s">
        <v>7</v>
      </c>
      <c r="D4426" t="str">
        <f t="shared" si="149"/>
        <v>564311</v>
      </c>
      <c r="E4426" t="s">
        <v>4646</v>
      </c>
      <c r="F4426" t="s">
        <v>11</v>
      </c>
    </row>
    <row r="4427" spans="1:6" x14ac:dyDescent="0.25">
      <c r="A4427" t="str">
        <f>"49111736"</f>
        <v>49111736</v>
      </c>
      <c r="B4427" t="s">
        <v>4651</v>
      </c>
      <c r="C4427" t="s">
        <v>15</v>
      </c>
      <c r="D4427" t="str">
        <f t="shared" si="149"/>
        <v>564311</v>
      </c>
      <c r="E4427" t="s">
        <v>4646</v>
      </c>
      <c r="F4427" t="s">
        <v>16</v>
      </c>
    </row>
    <row r="4428" spans="1:6" x14ac:dyDescent="0.25">
      <c r="A4428" t="str">
        <f>"06491995"</f>
        <v>06491995</v>
      </c>
      <c r="B4428" t="s">
        <v>4652</v>
      </c>
      <c r="C4428" t="s">
        <v>7</v>
      </c>
      <c r="D4428" t="str">
        <f t="shared" si="149"/>
        <v>564311</v>
      </c>
      <c r="E4428" t="s">
        <v>4646</v>
      </c>
      <c r="F4428" t="s">
        <v>11</v>
      </c>
    </row>
    <row r="4429" spans="1:6" x14ac:dyDescent="0.25">
      <c r="A4429" t="str">
        <f>"22508759"</f>
        <v>22508759</v>
      </c>
      <c r="B4429" t="s">
        <v>4653</v>
      </c>
      <c r="C4429" t="s">
        <v>7</v>
      </c>
      <c r="D4429" t="str">
        <f t="shared" si="149"/>
        <v>564311</v>
      </c>
      <c r="E4429" t="s">
        <v>4646</v>
      </c>
      <c r="F4429" t="s">
        <v>62</v>
      </c>
    </row>
    <row r="4430" spans="1:6" x14ac:dyDescent="0.25">
      <c r="A4430" t="str">
        <f>"26663082"</f>
        <v>26663082</v>
      </c>
      <c r="B4430" t="s">
        <v>4654</v>
      </c>
      <c r="C4430" t="s">
        <v>7</v>
      </c>
      <c r="D4430" t="str">
        <f t="shared" si="149"/>
        <v>564311</v>
      </c>
      <c r="E4430" t="s">
        <v>4646</v>
      </c>
      <c r="F4430" t="s">
        <v>11</v>
      </c>
    </row>
    <row r="4431" spans="1:6" x14ac:dyDescent="0.25">
      <c r="A4431" t="str">
        <f>"70839671"</f>
        <v>70839671</v>
      </c>
      <c r="B4431" t="s">
        <v>4655</v>
      </c>
      <c r="C4431" t="s">
        <v>7</v>
      </c>
      <c r="D4431" t="str">
        <f>"514276"</f>
        <v>514276</v>
      </c>
      <c r="E4431" t="s">
        <v>4656</v>
      </c>
      <c r="F4431" t="s">
        <v>65</v>
      </c>
    </row>
    <row r="4432" spans="1:6" x14ac:dyDescent="0.25">
      <c r="A4432" t="str">
        <f>"27038971"</f>
        <v>27038971</v>
      </c>
      <c r="B4432" t="s">
        <v>4657</v>
      </c>
      <c r="C4432" t="s">
        <v>7</v>
      </c>
      <c r="D4432" t="str">
        <f>"514276"</f>
        <v>514276</v>
      </c>
      <c r="E4432" t="s">
        <v>4656</v>
      </c>
      <c r="F4432" t="s">
        <v>9</v>
      </c>
    </row>
    <row r="4433" spans="1:6" x14ac:dyDescent="0.25">
      <c r="A4433" t="str">
        <f>"46750801"</f>
        <v>46750801</v>
      </c>
      <c r="B4433" t="s">
        <v>4658</v>
      </c>
      <c r="C4433" t="s">
        <v>7</v>
      </c>
      <c r="D4433" t="str">
        <f>"514276"</f>
        <v>514276</v>
      </c>
      <c r="E4433" t="s">
        <v>4656</v>
      </c>
      <c r="F4433" t="s">
        <v>38</v>
      </c>
    </row>
    <row r="4434" spans="1:6" x14ac:dyDescent="0.25">
      <c r="A4434" t="str">
        <f>"26523302"</f>
        <v>26523302</v>
      </c>
      <c r="B4434" t="s">
        <v>4659</v>
      </c>
      <c r="C4434" t="s">
        <v>7</v>
      </c>
      <c r="D4434" t="str">
        <f>"514276"</f>
        <v>514276</v>
      </c>
      <c r="E4434" t="s">
        <v>4656</v>
      </c>
      <c r="F4434" t="s">
        <v>11</v>
      </c>
    </row>
    <row r="4435" spans="1:6" x14ac:dyDescent="0.25">
      <c r="A4435" t="str">
        <f>"15045994"</f>
        <v>15045994</v>
      </c>
      <c r="B4435" t="s">
        <v>4660</v>
      </c>
      <c r="C4435" t="s">
        <v>7</v>
      </c>
      <c r="D4435" t="str">
        <f t="shared" ref="D4435:D4440" si="150">"577391"</f>
        <v>577391</v>
      </c>
      <c r="E4435" t="s">
        <v>4661</v>
      </c>
      <c r="F4435" t="s">
        <v>38</v>
      </c>
    </row>
    <row r="4436" spans="1:6" x14ac:dyDescent="0.25">
      <c r="A4436" t="str">
        <f>"22164332"</f>
        <v>22164332</v>
      </c>
      <c r="B4436" t="s">
        <v>4662</v>
      </c>
      <c r="C4436" t="s">
        <v>7</v>
      </c>
      <c r="D4436" t="str">
        <f t="shared" si="150"/>
        <v>577391</v>
      </c>
      <c r="E4436" t="s">
        <v>4661</v>
      </c>
      <c r="F4436" t="s">
        <v>328</v>
      </c>
    </row>
    <row r="4437" spans="1:6" x14ac:dyDescent="0.25">
      <c r="A4437" t="str">
        <f>"62014056"</f>
        <v>62014056</v>
      </c>
      <c r="B4437" t="s">
        <v>4663</v>
      </c>
      <c r="C4437" t="s">
        <v>15</v>
      </c>
      <c r="D4437" t="str">
        <f t="shared" si="150"/>
        <v>577391</v>
      </c>
      <c r="E4437" t="s">
        <v>4661</v>
      </c>
      <c r="F4437" t="s">
        <v>16</v>
      </c>
    </row>
    <row r="4438" spans="1:6" x14ac:dyDescent="0.25">
      <c r="A4438" t="str">
        <f>"27059154"</f>
        <v>27059154</v>
      </c>
      <c r="B4438" t="s">
        <v>4664</v>
      </c>
      <c r="C4438" t="s">
        <v>7</v>
      </c>
      <c r="D4438" t="str">
        <f t="shared" si="150"/>
        <v>577391</v>
      </c>
      <c r="E4438" t="s">
        <v>4661</v>
      </c>
      <c r="F4438" t="s">
        <v>424</v>
      </c>
    </row>
    <row r="4439" spans="1:6" x14ac:dyDescent="0.25">
      <c r="A4439" t="str">
        <f>"07426381"</f>
        <v>07426381</v>
      </c>
      <c r="B4439" t="s">
        <v>4665</v>
      </c>
      <c r="C4439" t="s">
        <v>7</v>
      </c>
      <c r="D4439" t="str">
        <f t="shared" si="150"/>
        <v>577391</v>
      </c>
      <c r="E4439" t="s">
        <v>4661</v>
      </c>
      <c r="F4439" t="s">
        <v>13</v>
      </c>
    </row>
    <row r="4440" spans="1:6" x14ac:dyDescent="0.25">
      <c r="A4440" t="str">
        <f>"49295454"</f>
        <v>49295454</v>
      </c>
      <c r="B4440" t="s">
        <v>4666</v>
      </c>
      <c r="C4440" t="s">
        <v>15</v>
      </c>
      <c r="D4440" t="str">
        <f t="shared" si="150"/>
        <v>577391</v>
      </c>
      <c r="E4440" t="s">
        <v>4661</v>
      </c>
      <c r="F4440" t="s">
        <v>65</v>
      </c>
    </row>
    <row r="4441" spans="1:6" x14ac:dyDescent="0.25">
      <c r="A4441" t="str">
        <f>"70819483"</f>
        <v>70819483</v>
      </c>
      <c r="B4441" t="s">
        <v>4667</v>
      </c>
      <c r="C4441" t="s">
        <v>7</v>
      </c>
      <c r="D4441" t="str">
        <f t="shared" ref="D4441:D4449" si="151">"563757"</f>
        <v>563757</v>
      </c>
      <c r="E4441" t="s">
        <v>4668</v>
      </c>
      <c r="F4441" t="s">
        <v>11</v>
      </c>
    </row>
    <row r="4442" spans="1:6" x14ac:dyDescent="0.25">
      <c r="A4442" t="str">
        <f>"72744952"</f>
        <v>72744952</v>
      </c>
      <c r="B4442" t="s">
        <v>4669</v>
      </c>
      <c r="C4442" t="s">
        <v>37</v>
      </c>
      <c r="D4442" t="str">
        <f t="shared" si="151"/>
        <v>563757</v>
      </c>
      <c r="E4442" t="s">
        <v>4668</v>
      </c>
      <c r="F4442" t="s">
        <v>38</v>
      </c>
    </row>
    <row r="4443" spans="1:6" x14ac:dyDescent="0.25">
      <c r="A4443" t="str">
        <f>"02685892"</f>
        <v>02685892</v>
      </c>
      <c r="B4443" t="s">
        <v>4670</v>
      </c>
      <c r="C4443" t="s">
        <v>7</v>
      </c>
      <c r="D4443" t="str">
        <f t="shared" si="151"/>
        <v>563757</v>
      </c>
      <c r="E4443" t="s">
        <v>4668</v>
      </c>
      <c r="F4443" t="s">
        <v>11</v>
      </c>
    </row>
    <row r="4444" spans="1:6" x14ac:dyDescent="0.25">
      <c r="A4444" t="str">
        <f>"03880001"</f>
        <v>03880001</v>
      </c>
      <c r="B4444" t="s">
        <v>4671</v>
      </c>
      <c r="C4444" t="s">
        <v>7</v>
      </c>
      <c r="D4444" t="str">
        <f t="shared" si="151"/>
        <v>563757</v>
      </c>
      <c r="E4444" t="s">
        <v>4668</v>
      </c>
      <c r="F4444" t="s">
        <v>29</v>
      </c>
    </row>
    <row r="4445" spans="1:6" x14ac:dyDescent="0.25">
      <c r="A4445" t="str">
        <f>"16389271"</f>
        <v>16389271</v>
      </c>
      <c r="B4445" t="s">
        <v>4672</v>
      </c>
      <c r="C4445" t="s">
        <v>15</v>
      </c>
      <c r="D4445" t="str">
        <f t="shared" si="151"/>
        <v>563757</v>
      </c>
      <c r="E4445" t="s">
        <v>4668</v>
      </c>
      <c r="F4445" t="s">
        <v>16</v>
      </c>
    </row>
    <row r="4446" spans="1:6" x14ac:dyDescent="0.25">
      <c r="A4446" t="str">
        <f>"64668142"</f>
        <v>64668142</v>
      </c>
      <c r="B4446" t="s">
        <v>4673</v>
      </c>
      <c r="C4446" t="s">
        <v>15</v>
      </c>
      <c r="D4446" t="str">
        <f t="shared" si="151"/>
        <v>563757</v>
      </c>
      <c r="E4446" t="s">
        <v>4668</v>
      </c>
      <c r="F4446" t="s">
        <v>16</v>
      </c>
    </row>
    <row r="4447" spans="1:6" x14ac:dyDescent="0.25">
      <c r="A4447" t="str">
        <f>"22684328"</f>
        <v>22684328</v>
      </c>
      <c r="B4447" t="s">
        <v>4674</v>
      </c>
      <c r="C4447" t="s">
        <v>7</v>
      </c>
      <c r="D4447" t="str">
        <f t="shared" si="151"/>
        <v>563757</v>
      </c>
      <c r="E4447" t="s">
        <v>4668</v>
      </c>
      <c r="F4447" t="s">
        <v>11</v>
      </c>
    </row>
    <row r="4448" spans="1:6" x14ac:dyDescent="0.25">
      <c r="A4448" t="str">
        <f>"16389034"</f>
        <v>16389034</v>
      </c>
      <c r="B4448" t="s">
        <v>4675</v>
      </c>
      <c r="C4448" t="s">
        <v>7</v>
      </c>
      <c r="D4448" t="str">
        <f t="shared" si="151"/>
        <v>563757</v>
      </c>
      <c r="E4448" t="s">
        <v>4668</v>
      </c>
      <c r="F4448" t="s">
        <v>9</v>
      </c>
    </row>
    <row r="4449" spans="1:6" x14ac:dyDescent="0.25">
      <c r="A4449" t="str">
        <f>"02448424"</f>
        <v>02448424</v>
      </c>
      <c r="B4449" t="s">
        <v>4676</v>
      </c>
      <c r="C4449" t="s">
        <v>7</v>
      </c>
      <c r="D4449" t="str">
        <f t="shared" si="151"/>
        <v>563757</v>
      </c>
      <c r="E4449" t="s">
        <v>4668</v>
      </c>
      <c r="F4449" t="s">
        <v>9</v>
      </c>
    </row>
    <row r="4450" spans="1:6" x14ac:dyDescent="0.25">
      <c r="A4450" t="str">
        <f>"70863962"</f>
        <v>70863962</v>
      </c>
      <c r="B4450" t="s">
        <v>4677</v>
      </c>
      <c r="C4450" t="s">
        <v>7</v>
      </c>
      <c r="D4450" t="str">
        <f>"561959"</f>
        <v>561959</v>
      </c>
      <c r="E4450" t="s">
        <v>4678</v>
      </c>
      <c r="F4450" t="s">
        <v>11</v>
      </c>
    </row>
    <row r="4451" spans="1:6" x14ac:dyDescent="0.25">
      <c r="A4451" t="str">
        <f>"46750665"</f>
        <v>46750665</v>
      </c>
      <c r="B4451" t="s">
        <v>4679</v>
      </c>
      <c r="C4451" t="s">
        <v>7</v>
      </c>
      <c r="D4451" t="str">
        <f>"561959"</f>
        <v>561959</v>
      </c>
      <c r="E4451" t="s">
        <v>4678</v>
      </c>
      <c r="F4451" t="s">
        <v>9</v>
      </c>
    </row>
    <row r="4452" spans="1:6" x14ac:dyDescent="0.25">
      <c r="A4452" t="str">
        <f>"62237292"</f>
        <v>62237292</v>
      </c>
      <c r="B4452" t="s">
        <v>4680</v>
      </c>
      <c r="C4452" t="s">
        <v>7</v>
      </c>
      <c r="D4452" t="str">
        <f>"561959"</f>
        <v>561959</v>
      </c>
      <c r="E4452" t="s">
        <v>4678</v>
      </c>
      <c r="F4452" t="s">
        <v>62</v>
      </c>
    </row>
    <row r="4453" spans="1:6" x14ac:dyDescent="0.25">
      <c r="A4453" t="str">
        <f>"01486578"</f>
        <v>01486578</v>
      </c>
      <c r="B4453" t="s">
        <v>4681</v>
      </c>
      <c r="C4453" t="s">
        <v>7</v>
      </c>
      <c r="D4453" t="str">
        <f>"561959"</f>
        <v>561959</v>
      </c>
      <c r="E4453" t="s">
        <v>4678</v>
      </c>
      <c r="F4453" t="s">
        <v>35</v>
      </c>
    </row>
    <row r="4454" spans="1:6" x14ac:dyDescent="0.25">
      <c r="A4454" t="str">
        <f>"05784956"</f>
        <v>05784956</v>
      </c>
      <c r="B4454" t="s">
        <v>4682</v>
      </c>
      <c r="C4454" t="s">
        <v>15</v>
      </c>
      <c r="D4454" t="str">
        <f t="shared" ref="D4454:D4463" si="152">"577405"</f>
        <v>577405</v>
      </c>
      <c r="E4454" t="s">
        <v>4683</v>
      </c>
      <c r="F4454" t="s">
        <v>29</v>
      </c>
    </row>
    <row r="4455" spans="1:6" x14ac:dyDescent="0.25">
      <c r="A4455" t="str">
        <f>"49295527"</f>
        <v>49295527</v>
      </c>
      <c r="B4455" t="s">
        <v>4684</v>
      </c>
      <c r="C4455" t="s">
        <v>15</v>
      </c>
      <c r="D4455" t="str">
        <f t="shared" si="152"/>
        <v>577405</v>
      </c>
      <c r="E4455" t="s">
        <v>4683</v>
      </c>
      <c r="F4455" t="s">
        <v>29</v>
      </c>
    </row>
    <row r="4456" spans="1:6" x14ac:dyDescent="0.25">
      <c r="A4456" t="str">
        <f>"22767843"</f>
        <v>22767843</v>
      </c>
      <c r="B4456" t="s">
        <v>4685</v>
      </c>
      <c r="C4456" t="s">
        <v>7</v>
      </c>
      <c r="D4456" t="str">
        <f t="shared" si="152"/>
        <v>577405</v>
      </c>
      <c r="E4456" t="s">
        <v>4683</v>
      </c>
      <c r="F4456" t="s">
        <v>11</v>
      </c>
    </row>
    <row r="4457" spans="1:6" x14ac:dyDescent="0.25">
      <c r="A4457" t="str">
        <f>"26584310"</f>
        <v>26584310</v>
      </c>
      <c r="B4457" t="s">
        <v>4686</v>
      </c>
      <c r="C4457" t="s">
        <v>7</v>
      </c>
      <c r="D4457" t="str">
        <f t="shared" si="152"/>
        <v>577405</v>
      </c>
      <c r="E4457" t="s">
        <v>4683</v>
      </c>
      <c r="F4457" t="s">
        <v>11</v>
      </c>
    </row>
    <row r="4458" spans="1:6" x14ac:dyDescent="0.25">
      <c r="A4458" t="str">
        <f>"62014757"</f>
        <v>62014757</v>
      </c>
      <c r="B4458" t="s">
        <v>4687</v>
      </c>
      <c r="C4458" t="s">
        <v>7</v>
      </c>
      <c r="D4458" t="str">
        <f t="shared" si="152"/>
        <v>577405</v>
      </c>
      <c r="E4458" t="s">
        <v>4683</v>
      </c>
      <c r="F4458" t="s">
        <v>604</v>
      </c>
    </row>
    <row r="4459" spans="1:6" x14ac:dyDescent="0.25">
      <c r="A4459" t="str">
        <f>"15045358"</f>
        <v>15045358</v>
      </c>
      <c r="B4459" t="s">
        <v>4688</v>
      </c>
      <c r="C4459" t="s">
        <v>15</v>
      </c>
      <c r="D4459" t="str">
        <f t="shared" si="152"/>
        <v>577405</v>
      </c>
      <c r="E4459" t="s">
        <v>4683</v>
      </c>
      <c r="F4459" t="s">
        <v>16</v>
      </c>
    </row>
    <row r="4460" spans="1:6" x14ac:dyDescent="0.25">
      <c r="A4460" t="str">
        <f>"62014005"</f>
        <v>62014005</v>
      </c>
      <c r="B4460" t="s">
        <v>4689</v>
      </c>
      <c r="C4460" t="s">
        <v>15</v>
      </c>
      <c r="D4460" t="str">
        <f t="shared" si="152"/>
        <v>577405</v>
      </c>
      <c r="E4460" t="s">
        <v>4683</v>
      </c>
      <c r="F4460" t="s">
        <v>16</v>
      </c>
    </row>
    <row r="4461" spans="1:6" x14ac:dyDescent="0.25">
      <c r="A4461" t="str">
        <f>"71158014"</f>
        <v>71158014</v>
      </c>
      <c r="B4461" t="s">
        <v>4690</v>
      </c>
      <c r="C4461" t="s">
        <v>15</v>
      </c>
      <c r="D4461" t="str">
        <f t="shared" si="152"/>
        <v>577405</v>
      </c>
      <c r="E4461" t="s">
        <v>4683</v>
      </c>
      <c r="F4461" t="s">
        <v>11</v>
      </c>
    </row>
    <row r="4462" spans="1:6" x14ac:dyDescent="0.25">
      <c r="A4462" t="str">
        <f>"49295276"</f>
        <v>49295276</v>
      </c>
      <c r="B4462" t="s">
        <v>4691</v>
      </c>
      <c r="C4462" t="s">
        <v>15</v>
      </c>
      <c r="D4462" t="str">
        <f t="shared" si="152"/>
        <v>577405</v>
      </c>
      <c r="E4462" t="s">
        <v>4683</v>
      </c>
      <c r="F4462" t="s">
        <v>9</v>
      </c>
    </row>
    <row r="4463" spans="1:6" x14ac:dyDescent="0.25">
      <c r="A4463" t="str">
        <f>"15044386"</f>
        <v>15044386</v>
      </c>
      <c r="B4463" t="s">
        <v>4692</v>
      </c>
      <c r="C4463" t="s">
        <v>7</v>
      </c>
      <c r="D4463" t="str">
        <f t="shared" si="152"/>
        <v>577405</v>
      </c>
      <c r="E4463" t="s">
        <v>4683</v>
      </c>
      <c r="F4463" t="s">
        <v>65</v>
      </c>
    </row>
    <row r="4464" spans="1:6" x14ac:dyDescent="0.25">
      <c r="A4464" t="str">
        <f>"01374648"</f>
        <v>01374648</v>
      </c>
      <c r="B4464" t="s">
        <v>4693</v>
      </c>
      <c r="C4464" t="s">
        <v>7</v>
      </c>
      <c r="D4464" t="str">
        <f t="shared" ref="D4464:D4469" si="153">"544345"</f>
        <v>544345</v>
      </c>
      <c r="E4464" t="s">
        <v>4694</v>
      </c>
      <c r="F4464" t="s">
        <v>328</v>
      </c>
    </row>
    <row r="4465" spans="1:6" x14ac:dyDescent="0.25">
      <c r="A4465" t="str">
        <f>"46745408"</f>
        <v>46745408</v>
      </c>
      <c r="B4465" t="s">
        <v>4695</v>
      </c>
      <c r="C4465" t="s">
        <v>37</v>
      </c>
      <c r="D4465" t="str">
        <f t="shared" si="153"/>
        <v>544345</v>
      </c>
      <c r="E4465" t="s">
        <v>4694</v>
      </c>
      <c r="F4465" t="s">
        <v>38</v>
      </c>
    </row>
    <row r="4466" spans="1:6" x14ac:dyDescent="0.25">
      <c r="A4466" t="str">
        <f>"27325920"</f>
        <v>27325920</v>
      </c>
      <c r="B4466" t="s">
        <v>4696</v>
      </c>
      <c r="C4466" t="s">
        <v>78</v>
      </c>
      <c r="D4466" t="str">
        <f t="shared" si="153"/>
        <v>544345</v>
      </c>
      <c r="E4466" t="s">
        <v>4694</v>
      </c>
      <c r="F4466" t="s">
        <v>11</v>
      </c>
    </row>
    <row r="4467" spans="1:6" x14ac:dyDescent="0.25">
      <c r="A4467" t="str">
        <f>"46746196"</f>
        <v>46746196</v>
      </c>
      <c r="B4467" t="s">
        <v>4697</v>
      </c>
      <c r="C4467" t="s">
        <v>7</v>
      </c>
      <c r="D4467" t="str">
        <f t="shared" si="153"/>
        <v>544345</v>
      </c>
      <c r="E4467" t="s">
        <v>4694</v>
      </c>
      <c r="F4467" t="s">
        <v>38</v>
      </c>
    </row>
    <row r="4468" spans="1:6" x14ac:dyDescent="0.25">
      <c r="A4468" t="str">
        <f>"49112139"</f>
        <v>49112139</v>
      </c>
      <c r="B4468" t="s">
        <v>4698</v>
      </c>
      <c r="C4468" t="s">
        <v>15</v>
      </c>
      <c r="D4468" t="str">
        <f t="shared" si="153"/>
        <v>544345</v>
      </c>
      <c r="E4468" t="s">
        <v>4694</v>
      </c>
      <c r="F4468" t="s">
        <v>16</v>
      </c>
    </row>
    <row r="4469" spans="1:6" x14ac:dyDescent="0.25">
      <c r="A4469" t="str">
        <f>"44224249"</f>
        <v>44224249</v>
      </c>
      <c r="B4469" t="s">
        <v>4699</v>
      </c>
      <c r="C4469" t="s">
        <v>15</v>
      </c>
      <c r="D4469" t="str">
        <f t="shared" si="153"/>
        <v>544345</v>
      </c>
      <c r="E4469" t="s">
        <v>4694</v>
      </c>
      <c r="F4469" t="s">
        <v>9</v>
      </c>
    </row>
    <row r="4470" spans="1:6" x14ac:dyDescent="0.25">
      <c r="A4470" t="str">
        <f>"05194369"</f>
        <v>05194369</v>
      </c>
      <c r="B4470" t="s">
        <v>4700</v>
      </c>
      <c r="C4470" t="s">
        <v>27</v>
      </c>
      <c r="D4470" t="str">
        <f t="shared" ref="D4470:D4479" si="154">"561983"</f>
        <v>561983</v>
      </c>
      <c r="E4470" t="s">
        <v>4701</v>
      </c>
      <c r="F4470" t="s">
        <v>13</v>
      </c>
    </row>
    <row r="4471" spans="1:6" x14ac:dyDescent="0.25">
      <c r="A4471" t="str">
        <f>"06056563"</f>
        <v>06056563</v>
      </c>
      <c r="B4471" t="s">
        <v>4702</v>
      </c>
      <c r="C4471" t="s">
        <v>7</v>
      </c>
      <c r="D4471" t="str">
        <f t="shared" si="154"/>
        <v>561983</v>
      </c>
      <c r="E4471" t="s">
        <v>4701</v>
      </c>
      <c r="F4471" t="s">
        <v>35</v>
      </c>
    </row>
    <row r="4472" spans="1:6" x14ac:dyDescent="0.25">
      <c r="A4472" t="str">
        <f>"05780225"</f>
        <v>05780225</v>
      </c>
      <c r="B4472" t="s">
        <v>4703</v>
      </c>
      <c r="C4472" t="s">
        <v>7</v>
      </c>
      <c r="D4472" t="str">
        <f t="shared" si="154"/>
        <v>561983</v>
      </c>
      <c r="E4472" t="s">
        <v>4701</v>
      </c>
      <c r="F4472" t="s">
        <v>62</v>
      </c>
    </row>
    <row r="4473" spans="1:6" x14ac:dyDescent="0.25">
      <c r="A4473" t="str">
        <f>"27026418"</f>
        <v>27026418</v>
      </c>
      <c r="B4473" t="s">
        <v>4704</v>
      </c>
      <c r="C4473" t="s">
        <v>7</v>
      </c>
      <c r="D4473" t="str">
        <f t="shared" si="154"/>
        <v>561983</v>
      </c>
      <c r="E4473" t="s">
        <v>4701</v>
      </c>
      <c r="F4473" t="s">
        <v>11</v>
      </c>
    </row>
    <row r="4474" spans="1:6" x14ac:dyDescent="0.25">
      <c r="A4474" t="str">
        <f>"22865471"</f>
        <v>22865471</v>
      </c>
      <c r="B4474" t="s">
        <v>4705</v>
      </c>
      <c r="C4474" t="s">
        <v>7</v>
      </c>
      <c r="D4474" t="str">
        <f t="shared" si="154"/>
        <v>561983</v>
      </c>
      <c r="E4474" t="s">
        <v>4701</v>
      </c>
      <c r="F4474" t="s">
        <v>11</v>
      </c>
    </row>
    <row r="4475" spans="1:6" x14ac:dyDescent="0.25">
      <c r="A4475" t="str">
        <f>"27037002"</f>
        <v>27037002</v>
      </c>
      <c r="B4475" t="s">
        <v>4706</v>
      </c>
      <c r="C4475" t="s">
        <v>7</v>
      </c>
      <c r="D4475" t="str">
        <f t="shared" si="154"/>
        <v>561983</v>
      </c>
      <c r="E4475" t="s">
        <v>4701</v>
      </c>
      <c r="F4475" t="s">
        <v>11</v>
      </c>
    </row>
    <row r="4476" spans="1:6" x14ac:dyDescent="0.25">
      <c r="A4476" t="str">
        <f>"27029514"</f>
        <v>27029514</v>
      </c>
      <c r="B4476" t="s">
        <v>4707</v>
      </c>
      <c r="C4476" t="s">
        <v>7</v>
      </c>
      <c r="D4476" t="str">
        <f t="shared" si="154"/>
        <v>561983</v>
      </c>
      <c r="E4476" t="s">
        <v>4701</v>
      </c>
      <c r="F4476" t="s">
        <v>9</v>
      </c>
    </row>
    <row r="4477" spans="1:6" x14ac:dyDescent="0.25">
      <c r="A4477" t="str">
        <f>"62237110"</f>
        <v>62237110</v>
      </c>
      <c r="B4477" t="s">
        <v>4708</v>
      </c>
      <c r="C4477" t="s">
        <v>7</v>
      </c>
      <c r="D4477" t="str">
        <f t="shared" si="154"/>
        <v>561983</v>
      </c>
      <c r="E4477" t="s">
        <v>4701</v>
      </c>
      <c r="F4477" t="s">
        <v>35</v>
      </c>
    </row>
    <row r="4478" spans="1:6" x14ac:dyDescent="0.25">
      <c r="A4478" t="str">
        <f>"44225105"</f>
        <v>44225105</v>
      </c>
      <c r="B4478" t="s">
        <v>4709</v>
      </c>
      <c r="C4478" t="s">
        <v>7</v>
      </c>
      <c r="D4478" t="str">
        <f t="shared" si="154"/>
        <v>561983</v>
      </c>
      <c r="E4478" t="s">
        <v>4701</v>
      </c>
      <c r="F4478" t="s">
        <v>35</v>
      </c>
    </row>
    <row r="4479" spans="1:6" x14ac:dyDescent="0.25">
      <c r="A4479" t="str">
        <f>"18382029"</f>
        <v>18382029</v>
      </c>
      <c r="B4479" t="s">
        <v>4710</v>
      </c>
      <c r="C4479" t="s">
        <v>20</v>
      </c>
      <c r="D4479" t="str">
        <f t="shared" si="154"/>
        <v>561983</v>
      </c>
      <c r="E4479" t="s">
        <v>4701</v>
      </c>
      <c r="F4479" t="s">
        <v>21</v>
      </c>
    </row>
    <row r="4480" spans="1:6" x14ac:dyDescent="0.25">
      <c r="A4480" t="str">
        <f>"07195371"</f>
        <v>07195371</v>
      </c>
      <c r="B4480" t="s">
        <v>4711</v>
      </c>
      <c r="C4480" t="s">
        <v>7</v>
      </c>
      <c r="D4480" t="str">
        <f t="shared" ref="D4480:D4489" si="155">"561991"</f>
        <v>561991</v>
      </c>
      <c r="E4480" t="s">
        <v>4712</v>
      </c>
      <c r="F4480" t="s">
        <v>29</v>
      </c>
    </row>
    <row r="4481" spans="1:6" x14ac:dyDescent="0.25">
      <c r="A4481" t="str">
        <f>"72744227"</f>
        <v>72744227</v>
      </c>
      <c r="B4481" t="s">
        <v>4713</v>
      </c>
      <c r="C4481" t="s">
        <v>15</v>
      </c>
      <c r="D4481" t="str">
        <f t="shared" si="155"/>
        <v>561991</v>
      </c>
      <c r="E4481" t="s">
        <v>4712</v>
      </c>
      <c r="F4481" t="s">
        <v>9</v>
      </c>
    </row>
    <row r="4482" spans="1:6" x14ac:dyDescent="0.25">
      <c r="A4482" t="str">
        <f>"22604791"</f>
        <v>22604791</v>
      </c>
      <c r="B4482" t="s">
        <v>4714</v>
      </c>
      <c r="C4482" t="s">
        <v>7</v>
      </c>
      <c r="D4482" t="str">
        <f t="shared" si="155"/>
        <v>561991</v>
      </c>
      <c r="E4482" t="s">
        <v>4712</v>
      </c>
      <c r="F4482" t="s">
        <v>18</v>
      </c>
    </row>
    <row r="4483" spans="1:6" x14ac:dyDescent="0.25">
      <c r="A4483" t="str">
        <f>"17586909"</f>
        <v>17586909</v>
      </c>
      <c r="B4483" t="s">
        <v>4715</v>
      </c>
      <c r="C4483" t="s">
        <v>7</v>
      </c>
      <c r="D4483" t="str">
        <f t="shared" si="155"/>
        <v>561991</v>
      </c>
      <c r="E4483" t="s">
        <v>4712</v>
      </c>
      <c r="F4483" t="s">
        <v>29</v>
      </c>
    </row>
    <row r="4484" spans="1:6" x14ac:dyDescent="0.25">
      <c r="A4484" t="str">
        <f>"63778211"</f>
        <v>63778211</v>
      </c>
      <c r="B4484" t="s">
        <v>4716</v>
      </c>
      <c r="C4484" t="s">
        <v>43</v>
      </c>
      <c r="D4484" t="str">
        <f t="shared" si="155"/>
        <v>561991</v>
      </c>
      <c r="E4484" t="s">
        <v>4712</v>
      </c>
      <c r="F4484" t="s">
        <v>44</v>
      </c>
    </row>
    <row r="4485" spans="1:6" x14ac:dyDescent="0.25">
      <c r="A4485" t="str">
        <f>"70693765"</f>
        <v>70693765</v>
      </c>
      <c r="B4485" t="s">
        <v>4717</v>
      </c>
      <c r="C4485" t="s">
        <v>7</v>
      </c>
      <c r="D4485" t="str">
        <f t="shared" si="155"/>
        <v>561991</v>
      </c>
      <c r="E4485" t="s">
        <v>4712</v>
      </c>
      <c r="F4485" t="s">
        <v>11</v>
      </c>
    </row>
    <row r="4486" spans="1:6" x14ac:dyDescent="0.25">
      <c r="A4486" t="str">
        <f>"49864238"</f>
        <v>49864238</v>
      </c>
      <c r="B4486" t="s">
        <v>4718</v>
      </c>
      <c r="C4486" t="s">
        <v>7</v>
      </c>
      <c r="D4486" t="str">
        <f t="shared" si="155"/>
        <v>561991</v>
      </c>
      <c r="E4486" t="s">
        <v>4712</v>
      </c>
      <c r="F4486" t="s">
        <v>9</v>
      </c>
    </row>
    <row r="4487" spans="1:6" x14ac:dyDescent="0.25">
      <c r="A4487" t="str">
        <f>"63778564"</f>
        <v>63778564</v>
      </c>
      <c r="B4487" t="s">
        <v>4719</v>
      </c>
      <c r="C4487" t="s">
        <v>7</v>
      </c>
      <c r="D4487" t="str">
        <f t="shared" si="155"/>
        <v>561991</v>
      </c>
      <c r="E4487" t="s">
        <v>4712</v>
      </c>
      <c r="F4487" t="s">
        <v>35</v>
      </c>
    </row>
    <row r="4488" spans="1:6" x14ac:dyDescent="0.25">
      <c r="A4488" t="str">
        <f>"22517766"</f>
        <v>22517766</v>
      </c>
      <c r="B4488" t="s">
        <v>4720</v>
      </c>
      <c r="C4488" t="s">
        <v>7</v>
      </c>
      <c r="D4488" t="str">
        <f t="shared" si="155"/>
        <v>561991</v>
      </c>
      <c r="E4488" t="s">
        <v>4712</v>
      </c>
      <c r="F4488" t="s">
        <v>29</v>
      </c>
    </row>
    <row r="4489" spans="1:6" x14ac:dyDescent="0.25">
      <c r="A4489" t="str">
        <f>"65650395"</f>
        <v>65650395</v>
      </c>
      <c r="B4489" t="s">
        <v>4721</v>
      </c>
      <c r="C4489" t="s">
        <v>20</v>
      </c>
      <c r="D4489" t="str">
        <f t="shared" si="155"/>
        <v>561991</v>
      </c>
      <c r="E4489" t="s">
        <v>4712</v>
      </c>
      <c r="F4489" t="s">
        <v>21</v>
      </c>
    </row>
    <row r="4490" spans="1:6" x14ac:dyDescent="0.25">
      <c r="A4490" t="str">
        <f>"22839917"</f>
        <v>22839917</v>
      </c>
      <c r="B4490" t="s">
        <v>4722</v>
      </c>
      <c r="C4490" t="s">
        <v>7</v>
      </c>
      <c r="D4490" t="str">
        <f t="shared" ref="D4490:D4495" si="156">"546577"</f>
        <v>546577</v>
      </c>
      <c r="E4490" t="s">
        <v>4723</v>
      </c>
      <c r="F4490" t="s">
        <v>11</v>
      </c>
    </row>
    <row r="4491" spans="1:6" x14ac:dyDescent="0.25">
      <c r="A4491" t="str">
        <f>"05699002"</f>
        <v>05699002</v>
      </c>
      <c r="B4491" t="s">
        <v>4724</v>
      </c>
      <c r="C4491" t="s">
        <v>7</v>
      </c>
      <c r="D4491" t="str">
        <f t="shared" si="156"/>
        <v>546577</v>
      </c>
      <c r="E4491" t="s">
        <v>4723</v>
      </c>
      <c r="F4491" t="s">
        <v>11</v>
      </c>
    </row>
    <row r="4492" spans="1:6" x14ac:dyDescent="0.25">
      <c r="A4492" t="str">
        <f>"22757473"</f>
        <v>22757473</v>
      </c>
      <c r="B4492" t="s">
        <v>4725</v>
      </c>
      <c r="C4492" t="s">
        <v>7</v>
      </c>
      <c r="D4492" t="str">
        <f t="shared" si="156"/>
        <v>546577</v>
      </c>
      <c r="E4492" t="s">
        <v>4723</v>
      </c>
      <c r="F4492" t="s">
        <v>11</v>
      </c>
    </row>
    <row r="4493" spans="1:6" x14ac:dyDescent="0.25">
      <c r="A4493" t="str">
        <f>"64668169"</f>
        <v>64668169</v>
      </c>
      <c r="B4493" t="s">
        <v>4726</v>
      </c>
      <c r="C4493" t="s">
        <v>15</v>
      </c>
      <c r="D4493" t="str">
        <f t="shared" si="156"/>
        <v>546577</v>
      </c>
      <c r="E4493" t="s">
        <v>4723</v>
      </c>
      <c r="F4493" t="s">
        <v>16</v>
      </c>
    </row>
    <row r="4494" spans="1:6" x14ac:dyDescent="0.25">
      <c r="A4494" t="str">
        <f>"22888152"</f>
        <v>22888152</v>
      </c>
      <c r="B4494" t="s">
        <v>4727</v>
      </c>
      <c r="C4494" t="s">
        <v>7</v>
      </c>
      <c r="D4494" t="str">
        <f t="shared" si="156"/>
        <v>546577</v>
      </c>
      <c r="E4494" t="s">
        <v>4723</v>
      </c>
      <c r="F4494" t="s">
        <v>35</v>
      </c>
    </row>
    <row r="4495" spans="1:6" x14ac:dyDescent="0.25">
      <c r="A4495" t="str">
        <f>"02227011"</f>
        <v>02227011</v>
      </c>
      <c r="B4495" t="s">
        <v>4728</v>
      </c>
      <c r="C4495" t="s">
        <v>7</v>
      </c>
      <c r="D4495" t="str">
        <f t="shared" si="156"/>
        <v>546577</v>
      </c>
      <c r="E4495" t="s">
        <v>4723</v>
      </c>
      <c r="F4495" t="s">
        <v>11</v>
      </c>
    </row>
    <row r="4496" spans="1:6" x14ac:dyDescent="0.25">
      <c r="A4496" t="str">
        <f>"70864586"</f>
        <v>70864586</v>
      </c>
      <c r="B4496" t="s">
        <v>4729</v>
      </c>
      <c r="C4496" t="s">
        <v>7</v>
      </c>
      <c r="D4496" t="str">
        <f t="shared" ref="D4496:D4517" si="157">"563749"</f>
        <v>563749</v>
      </c>
      <c r="E4496" t="s">
        <v>4730</v>
      </c>
      <c r="F4496" t="s">
        <v>11</v>
      </c>
    </row>
    <row r="4497" spans="1:6" x14ac:dyDescent="0.25">
      <c r="A4497" t="str">
        <f>"72023503"</f>
        <v>72023503</v>
      </c>
      <c r="B4497" t="s">
        <v>4731</v>
      </c>
      <c r="C4497" t="s">
        <v>15</v>
      </c>
      <c r="D4497" t="str">
        <f t="shared" si="157"/>
        <v>563749</v>
      </c>
      <c r="E4497" t="s">
        <v>4730</v>
      </c>
      <c r="F4497" t="s">
        <v>29</v>
      </c>
    </row>
    <row r="4498" spans="1:6" x14ac:dyDescent="0.25">
      <c r="A4498" t="str">
        <f>"75108887"</f>
        <v>75108887</v>
      </c>
      <c r="B4498" t="s">
        <v>4732</v>
      </c>
      <c r="C4498" t="s">
        <v>15</v>
      </c>
      <c r="D4498" t="str">
        <f t="shared" si="157"/>
        <v>563749</v>
      </c>
      <c r="E4498" t="s">
        <v>4730</v>
      </c>
      <c r="F4498" t="s">
        <v>29</v>
      </c>
    </row>
    <row r="4499" spans="1:6" x14ac:dyDescent="0.25">
      <c r="A4499" t="str">
        <f>"43256350"</f>
        <v>43256350</v>
      </c>
      <c r="B4499" t="s">
        <v>4733</v>
      </c>
      <c r="C4499" t="s">
        <v>37</v>
      </c>
      <c r="D4499" t="str">
        <f t="shared" si="157"/>
        <v>563749</v>
      </c>
      <c r="E4499" t="s">
        <v>4730</v>
      </c>
      <c r="F4499" t="s">
        <v>38</v>
      </c>
    </row>
    <row r="4500" spans="1:6" x14ac:dyDescent="0.25">
      <c r="A4500" t="str">
        <f>"22814019"</f>
        <v>22814019</v>
      </c>
      <c r="B4500" t="s">
        <v>4734</v>
      </c>
      <c r="C4500" t="s">
        <v>7</v>
      </c>
      <c r="D4500" t="str">
        <f t="shared" si="157"/>
        <v>563749</v>
      </c>
      <c r="E4500" t="s">
        <v>4730</v>
      </c>
      <c r="F4500" t="s">
        <v>11</v>
      </c>
    </row>
    <row r="4501" spans="1:6" x14ac:dyDescent="0.25">
      <c r="A4501" t="str">
        <f>"64669238"</f>
        <v>64669238</v>
      </c>
      <c r="B4501" t="s">
        <v>4735</v>
      </c>
      <c r="C4501" t="s">
        <v>7</v>
      </c>
      <c r="D4501" t="str">
        <f t="shared" si="157"/>
        <v>563749</v>
      </c>
      <c r="E4501" t="s">
        <v>4730</v>
      </c>
      <c r="F4501" t="s">
        <v>38</v>
      </c>
    </row>
    <row r="4502" spans="1:6" x14ac:dyDescent="0.25">
      <c r="A4502" t="str">
        <f>"44224834"</f>
        <v>44224834</v>
      </c>
      <c r="B4502" t="s">
        <v>4736</v>
      </c>
      <c r="C4502" t="s">
        <v>7</v>
      </c>
      <c r="D4502" t="str">
        <f t="shared" si="157"/>
        <v>563749</v>
      </c>
      <c r="E4502" t="s">
        <v>4730</v>
      </c>
      <c r="F4502" t="s">
        <v>11</v>
      </c>
    </row>
    <row r="4503" spans="1:6" x14ac:dyDescent="0.25">
      <c r="A4503" t="str">
        <f>"86796941"</f>
        <v>86796941</v>
      </c>
      <c r="B4503" t="s">
        <v>4737</v>
      </c>
      <c r="C4503" t="s">
        <v>15</v>
      </c>
      <c r="D4503" t="str">
        <f t="shared" si="157"/>
        <v>563749</v>
      </c>
      <c r="E4503" t="s">
        <v>4730</v>
      </c>
      <c r="F4503" t="s">
        <v>16</v>
      </c>
    </row>
    <row r="4504" spans="1:6" x14ac:dyDescent="0.25">
      <c r="A4504" t="str">
        <f>"60254599"</f>
        <v>60254599</v>
      </c>
      <c r="B4504" t="s">
        <v>4738</v>
      </c>
      <c r="C4504" t="s">
        <v>15</v>
      </c>
      <c r="D4504" t="str">
        <f t="shared" si="157"/>
        <v>563749</v>
      </c>
      <c r="E4504" t="s">
        <v>4730</v>
      </c>
      <c r="F4504" t="s">
        <v>16</v>
      </c>
    </row>
    <row r="4505" spans="1:6" x14ac:dyDescent="0.25">
      <c r="A4505" t="str">
        <f>"60254866"</f>
        <v>60254866</v>
      </c>
      <c r="B4505" t="s">
        <v>4739</v>
      </c>
      <c r="C4505" t="s">
        <v>15</v>
      </c>
      <c r="D4505" t="str">
        <f t="shared" si="157"/>
        <v>563749</v>
      </c>
      <c r="E4505" t="s">
        <v>4730</v>
      </c>
      <c r="F4505" t="s">
        <v>16</v>
      </c>
    </row>
    <row r="4506" spans="1:6" x14ac:dyDescent="0.25">
      <c r="A4506" t="str">
        <f>"60254971"</f>
        <v>60254971</v>
      </c>
      <c r="B4506" t="s">
        <v>4740</v>
      </c>
      <c r="C4506" t="s">
        <v>15</v>
      </c>
      <c r="D4506" t="str">
        <f t="shared" si="157"/>
        <v>563749</v>
      </c>
      <c r="E4506" t="s">
        <v>4730</v>
      </c>
      <c r="F4506" t="s">
        <v>16</v>
      </c>
    </row>
    <row r="4507" spans="1:6" x14ac:dyDescent="0.25">
      <c r="A4507" t="str">
        <f>"64668380"</f>
        <v>64668380</v>
      </c>
      <c r="B4507" t="s">
        <v>4741</v>
      </c>
      <c r="C4507" t="s">
        <v>15</v>
      </c>
      <c r="D4507" t="str">
        <f t="shared" si="157"/>
        <v>563749</v>
      </c>
      <c r="E4507" t="s">
        <v>4730</v>
      </c>
      <c r="F4507" t="s">
        <v>16</v>
      </c>
    </row>
    <row r="4508" spans="1:6" x14ac:dyDescent="0.25">
      <c r="A4508" t="str">
        <f>"60253479"</f>
        <v>60253479</v>
      </c>
      <c r="B4508" t="s">
        <v>4742</v>
      </c>
      <c r="C4508" t="s">
        <v>15</v>
      </c>
      <c r="D4508" t="str">
        <f t="shared" si="157"/>
        <v>563749</v>
      </c>
      <c r="E4508" t="s">
        <v>4730</v>
      </c>
      <c r="F4508" t="s">
        <v>16</v>
      </c>
    </row>
    <row r="4509" spans="1:6" x14ac:dyDescent="0.25">
      <c r="A4509" t="str">
        <f>"16389247"</f>
        <v>16389247</v>
      </c>
      <c r="B4509" t="s">
        <v>4743</v>
      </c>
      <c r="C4509" t="s">
        <v>7</v>
      </c>
      <c r="D4509" t="str">
        <f t="shared" si="157"/>
        <v>563749</v>
      </c>
      <c r="E4509" t="s">
        <v>4730</v>
      </c>
      <c r="F4509" t="s">
        <v>9</v>
      </c>
    </row>
    <row r="4510" spans="1:6" x14ac:dyDescent="0.25">
      <c r="A4510" t="str">
        <f>"05737010"</f>
        <v>05737010</v>
      </c>
      <c r="B4510" t="s">
        <v>4744</v>
      </c>
      <c r="C4510" t="s">
        <v>7</v>
      </c>
      <c r="D4510" t="str">
        <f t="shared" si="157"/>
        <v>563749</v>
      </c>
      <c r="E4510" t="s">
        <v>4730</v>
      </c>
      <c r="F4510" t="s">
        <v>11</v>
      </c>
    </row>
    <row r="4511" spans="1:6" x14ac:dyDescent="0.25">
      <c r="A4511" t="str">
        <f>"22016970"</f>
        <v>22016970</v>
      </c>
      <c r="B4511" t="s">
        <v>4745</v>
      </c>
      <c r="C4511" t="s">
        <v>7</v>
      </c>
      <c r="D4511" t="str">
        <f t="shared" si="157"/>
        <v>563749</v>
      </c>
      <c r="E4511" t="s">
        <v>4730</v>
      </c>
      <c r="F4511" t="s">
        <v>62</v>
      </c>
    </row>
    <row r="4512" spans="1:6" x14ac:dyDescent="0.25">
      <c r="A4512" t="str">
        <f>"60252138"</f>
        <v>60252138</v>
      </c>
      <c r="B4512" t="s">
        <v>4746</v>
      </c>
      <c r="C4512" t="s">
        <v>7</v>
      </c>
      <c r="D4512" t="str">
        <f t="shared" si="157"/>
        <v>563749</v>
      </c>
      <c r="E4512" t="s">
        <v>4730</v>
      </c>
      <c r="F4512" t="s">
        <v>35</v>
      </c>
    </row>
    <row r="4513" spans="1:6" x14ac:dyDescent="0.25">
      <c r="A4513" t="str">
        <f>"70947392"</f>
        <v>70947392</v>
      </c>
      <c r="B4513" t="s">
        <v>4747</v>
      </c>
      <c r="C4513" t="s">
        <v>15</v>
      </c>
      <c r="D4513" t="str">
        <f t="shared" si="157"/>
        <v>563749</v>
      </c>
      <c r="E4513" t="s">
        <v>4730</v>
      </c>
      <c r="F4513" t="s">
        <v>65</v>
      </c>
    </row>
    <row r="4514" spans="1:6" x14ac:dyDescent="0.25">
      <c r="A4514" t="str">
        <f>"64669670"</f>
        <v>64669670</v>
      </c>
      <c r="B4514" t="s">
        <v>4748</v>
      </c>
      <c r="C4514" t="s">
        <v>15</v>
      </c>
      <c r="D4514" t="str">
        <f t="shared" si="157"/>
        <v>563749</v>
      </c>
      <c r="E4514" t="s">
        <v>4730</v>
      </c>
      <c r="F4514" t="s">
        <v>65</v>
      </c>
    </row>
    <row r="4515" spans="1:6" x14ac:dyDescent="0.25">
      <c r="A4515" t="str">
        <f>"60252898"</f>
        <v>60252898</v>
      </c>
      <c r="B4515" t="s">
        <v>4749</v>
      </c>
      <c r="C4515" t="s">
        <v>7</v>
      </c>
      <c r="D4515" t="str">
        <f t="shared" si="157"/>
        <v>563749</v>
      </c>
      <c r="E4515" t="s">
        <v>4730</v>
      </c>
      <c r="F4515" t="s">
        <v>9</v>
      </c>
    </row>
    <row r="4516" spans="1:6" x14ac:dyDescent="0.25">
      <c r="A4516" t="str">
        <f>"16389760"</f>
        <v>16389760</v>
      </c>
      <c r="B4516" t="s">
        <v>4750</v>
      </c>
      <c r="C4516" t="s">
        <v>7</v>
      </c>
      <c r="D4516" t="str">
        <f t="shared" si="157"/>
        <v>563749</v>
      </c>
      <c r="E4516" t="s">
        <v>4730</v>
      </c>
      <c r="F4516" t="s">
        <v>9</v>
      </c>
    </row>
    <row r="4517" spans="1:6" x14ac:dyDescent="0.25">
      <c r="A4517" t="str">
        <f>"01800477"</f>
        <v>01800477</v>
      </c>
      <c r="B4517" t="s">
        <v>4751</v>
      </c>
      <c r="C4517" t="s">
        <v>7</v>
      </c>
      <c r="D4517" t="str">
        <f t="shared" si="157"/>
        <v>563749</v>
      </c>
      <c r="E4517" t="s">
        <v>4730</v>
      </c>
      <c r="F4517" t="s">
        <v>9</v>
      </c>
    </row>
    <row r="4518" spans="1:6" x14ac:dyDescent="0.25">
      <c r="A4518" t="str">
        <f>"69897964"</f>
        <v>69897964</v>
      </c>
      <c r="B4518" t="s">
        <v>4752</v>
      </c>
      <c r="C4518" t="s">
        <v>7</v>
      </c>
      <c r="D4518" t="str">
        <f t="shared" ref="D4518:D4530" si="158">"564303"</f>
        <v>564303</v>
      </c>
      <c r="E4518" t="s">
        <v>4730</v>
      </c>
      <c r="F4518" t="s">
        <v>65</v>
      </c>
    </row>
    <row r="4519" spans="1:6" x14ac:dyDescent="0.25">
      <c r="A4519" t="str">
        <f>"70229970"</f>
        <v>70229970</v>
      </c>
      <c r="B4519" t="s">
        <v>4753</v>
      </c>
      <c r="C4519" t="s">
        <v>15</v>
      </c>
      <c r="D4519" t="str">
        <f t="shared" si="158"/>
        <v>564303</v>
      </c>
      <c r="E4519" t="s">
        <v>4730</v>
      </c>
      <c r="F4519" t="s">
        <v>29</v>
      </c>
    </row>
    <row r="4520" spans="1:6" x14ac:dyDescent="0.25">
      <c r="A4520" t="str">
        <f>"02516624"</f>
        <v>02516624</v>
      </c>
      <c r="B4520" t="s">
        <v>4754</v>
      </c>
      <c r="C4520" t="s">
        <v>78</v>
      </c>
      <c r="D4520" t="str">
        <f t="shared" si="158"/>
        <v>564303</v>
      </c>
      <c r="E4520" t="s">
        <v>4730</v>
      </c>
      <c r="F4520" t="s">
        <v>11</v>
      </c>
    </row>
    <row r="4521" spans="1:6" x14ac:dyDescent="0.25">
      <c r="A4521" t="str">
        <f>"75127458"</f>
        <v>75127458</v>
      </c>
      <c r="B4521" t="s">
        <v>4733</v>
      </c>
      <c r="C4521" t="s">
        <v>37</v>
      </c>
      <c r="D4521" t="str">
        <f t="shared" si="158"/>
        <v>564303</v>
      </c>
      <c r="E4521" t="s">
        <v>4730</v>
      </c>
      <c r="F4521" t="s">
        <v>38</v>
      </c>
    </row>
    <row r="4522" spans="1:6" x14ac:dyDescent="0.25">
      <c r="A4522" t="str">
        <f>"22756931"</f>
        <v>22756931</v>
      </c>
      <c r="B4522" t="s">
        <v>4755</v>
      </c>
      <c r="C4522" t="s">
        <v>7</v>
      </c>
      <c r="D4522" t="str">
        <f t="shared" si="158"/>
        <v>564303</v>
      </c>
      <c r="E4522" t="s">
        <v>4730</v>
      </c>
      <c r="F4522" t="s">
        <v>35</v>
      </c>
    </row>
    <row r="4523" spans="1:6" x14ac:dyDescent="0.25">
      <c r="A4523" t="str">
        <f>"22846638"</f>
        <v>22846638</v>
      </c>
      <c r="B4523" t="s">
        <v>4756</v>
      </c>
      <c r="C4523" t="s">
        <v>7</v>
      </c>
      <c r="D4523" t="str">
        <f t="shared" si="158"/>
        <v>564303</v>
      </c>
      <c r="E4523" t="s">
        <v>4730</v>
      </c>
      <c r="F4523" t="s">
        <v>35</v>
      </c>
    </row>
    <row r="4524" spans="1:6" x14ac:dyDescent="0.25">
      <c r="A4524" t="str">
        <f>"22717455"</f>
        <v>22717455</v>
      </c>
      <c r="B4524" t="s">
        <v>4757</v>
      </c>
      <c r="C4524" t="s">
        <v>7</v>
      </c>
      <c r="D4524" t="str">
        <f t="shared" si="158"/>
        <v>564303</v>
      </c>
      <c r="E4524" t="s">
        <v>4730</v>
      </c>
      <c r="F4524" t="s">
        <v>18</v>
      </c>
    </row>
    <row r="4525" spans="1:6" x14ac:dyDescent="0.25">
      <c r="A4525" t="str">
        <f>"22841415"</f>
        <v>22841415</v>
      </c>
      <c r="B4525" t="s">
        <v>4758</v>
      </c>
      <c r="C4525" t="s">
        <v>7</v>
      </c>
      <c r="D4525" t="str">
        <f t="shared" si="158"/>
        <v>564303</v>
      </c>
      <c r="E4525" t="s">
        <v>4730</v>
      </c>
      <c r="F4525" t="s">
        <v>13</v>
      </c>
    </row>
    <row r="4526" spans="1:6" x14ac:dyDescent="0.25">
      <c r="A4526" t="str">
        <f>"49111981"</f>
        <v>49111981</v>
      </c>
      <c r="B4526" t="s">
        <v>4742</v>
      </c>
      <c r="C4526" t="s">
        <v>15</v>
      </c>
      <c r="D4526" t="str">
        <f t="shared" si="158"/>
        <v>564303</v>
      </c>
      <c r="E4526" t="s">
        <v>4730</v>
      </c>
      <c r="F4526" t="s">
        <v>16</v>
      </c>
    </row>
    <row r="4527" spans="1:6" x14ac:dyDescent="0.25">
      <c r="A4527" t="str">
        <f>"26649811"</f>
        <v>26649811</v>
      </c>
      <c r="B4527" t="s">
        <v>4759</v>
      </c>
      <c r="C4527" t="s">
        <v>7</v>
      </c>
      <c r="D4527" t="str">
        <f t="shared" si="158"/>
        <v>564303</v>
      </c>
      <c r="E4527" t="s">
        <v>4730</v>
      </c>
      <c r="F4527" t="s">
        <v>11</v>
      </c>
    </row>
    <row r="4528" spans="1:6" x14ac:dyDescent="0.25">
      <c r="A4528" t="str">
        <f>"26577275"</f>
        <v>26577275</v>
      </c>
      <c r="B4528" t="s">
        <v>4760</v>
      </c>
      <c r="C4528" t="s">
        <v>7</v>
      </c>
      <c r="D4528" t="str">
        <f t="shared" si="158"/>
        <v>564303</v>
      </c>
      <c r="E4528" t="s">
        <v>4730</v>
      </c>
      <c r="F4528" t="s">
        <v>35</v>
      </c>
    </row>
    <row r="4529" spans="1:6" x14ac:dyDescent="0.25">
      <c r="A4529" t="str">
        <f>"65650786"</f>
        <v>65650786</v>
      </c>
      <c r="B4529" t="s">
        <v>4761</v>
      </c>
      <c r="C4529" t="s">
        <v>7</v>
      </c>
      <c r="D4529" t="str">
        <f t="shared" si="158"/>
        <v>564303</v>
      </c>
      <c r="E4529" t="s">
        <v>4730</v>
      </c>
      <c r="F4529" t="s">
        <v>9</v>
      </c>
    </row>
    <row r="4530" spans="1:6" x14ac:dyDescent="0.25">
      <c r="A4530" t="str">
        <f>"22895345"</f>
        <v>22895345</v>
      </c>
      <c r="B4530" t="s">
        <v>4762</v>
      </c>
      <c r="C4530" t="s">
        <v>7</v>
      </c>
      <c r="D4530" t="str">
        <f t="shared" si="158"/>
        <v>564303</v>
      </c>
      <c r="E4530" t="s">
        <v>4730</v>
      </c>
      <c r="F4530" t="s">
        <v>11</v>
      </c>
    </row>
    <row r="4531" spans="1:6" x14ac:dyDescent="0.25">
      <c r="A4531" t="str">
        <f>"02058529"</f>
        <v>02058529</v>
      </c>
      <c r="B4531" t="s">
        <v>4763</v>
      </c>
      <c r="C4531" t="s">
        <v>7</v>
      </c>
      <c r="D4531" t="str">
        <f t="shared" ref="D4531:D4543" si="159">"577413"</f>
        <v>577413</v>
      </c>
      <c r="E4531" t="s">
        <v>4764</v>
      </c>
      <c r="F4531" t="s">
        <v>9</v>
      </c>
    </row>
    <row r="4532" spans="1:6" x14ac:dyDescent="0.25">
      <c r="A4532" t="str">
        <f>"22380078"</f>
        <v>22380078</v>
      </c>
      <c r="B4532" t="s">
        <v>4765</v>
      </c>
      <c r="C4532" t="s">
        <v>7</v>
      </c>
      <c r="D4532" t="str">
        <f t="shared" si="159"/>
        <v>577413</v>
      </c>
      <c r="E4532" t="s">
        <v>4764</v>
      </c>
      <c r="F4532" t="s">
        <v>29</v>
      </c>
    </row>
    <row r="4533" spans="1:6" x14ac:dyDescent="0.25">
      <c r="A4533" t="str">
        <f>"45598886"</f>
        <v>45598886</v>
      </c>
      <c r="B4533" t="s">
        <v>4766</v>
      </c>
      <c r="C4533" t="s">
        <v>7</v>
      </c>
      <c r="D4533" t="str">
        <f t="shared" si="159"/>
        <v>577413</v>
      </c>
      <c r="E4533" t="s">
        <v>4764</v>
      </c>
      <c r="F4533" t="s">
        <v>38</v>
      </c>
    </row>
    <row r="4534" spans="1:6" x14ac:dyDescent="0.25">
      <c r="A4534" t="str">
        <f>"62013211"</f>
        <v>62013211</v>
      </c>
      <c r="B4534" t="s">
        <v>4767</v>
      </c>
      <c r="C4534" t="s">
        <v>43</v>
      </c>
      <c r="D4534" t="str">
        <f t="shared" si="159"/>
        <v>577413</v>
      </c>
      <c r="E4534" t="s">
        <v>4764</v>
      </c>
      <c r="F4534" t="s">
        <v>44</v>
      </c>
    </row>
    <row r="4535" spans="1:6" x14ac:dyDescent="0.25">
      <c r="A4535" t="str">
        <f>"22513736"</f>
        <v>22513736</v>
      </c>
      <c r="B4535" t="s">
        <v>4768</v>
      </c>
      <c r="C4535" t="s">
        <v>7</v>
      </c>
      <c r="D4535" t="str">
        <f t="shared" si="159"/>
        <v>577413</v>
      </c>
      <c r="E4535" t="s">
        <v>4764</v>
      </c>
      <c r="F4535" t="s">
        <v>29</v>
      </c>
    </row>
    <row r="4536" spans="1:6" x14ac:dyDescent="0.25">
      <c r="A4536" t="str">
        <f>"27020932"</f>
        <v>27020932</v>
      </c>
      <c r="B4536" t="s">
        <v>4769</v>
      </c>
      <c r="C4536" t="s">
        <v>7</v>
      </c>
      <c r="D4536" t="str">
        <f t="shared" si="159"/>
        <v>577413</v>
      </c>
      <c r="E4536" t="s">
        <v>4764</v>
      </c>
      <c r="F4536" t="s">
        <v>11</v>
      </c>
    </row>
    <row r="4537" spans="1:6" x14ac:dyDescent="0.25">
      <c r="A4537" t="str">
        <f>"22824952"</f>
        <v>22824952</v>
      </c>
      <c r="B4537" t="s">
        <v>4770</v>
      </c>
      <c r="C4537" t="s">
        <v>7</v>
      </c>
      <c r="D4537" t="str">
        <f t="shared" si="159"/>
        <v>577413</v>
      </c>
      <c r="E4537" t="s">
        <v>4764</v>
      </c>
      <c r="F4537" t="s">
        <v>11</v>
      </c>
    </row>
    <row r="4538" spans="1:6" x14ac:dyDescent="0.25">
      <c r="A4538" t="str">
        <f>"62451031"</f>
        <v>62451031</v>
      </c>
      <c r="B4538" t="s">
        <v>4771</v>
      </c>
      <c r="C4538" t="s">
        <v>43</v>
      </c>
      <c r="D4538" t="str">
        <f t="shared" si="159"/>
        <v>577413</v>
      </c>
      <c r="E4538" t="s">
        <v>4764</v>
      </c>
      <c r="F4538" t="s">
        <v>44</v>
      </c>
    </row>
    <row r="4539" spans="1:6" x14ac:dyDescent="0.25">
      <c r="A4539" t="str">
        <f>"49295942"</f>
        <v>49295942</v>
      </c>
      <c r="B4539" t="s">
        <v>4772</v>
      </c>
      <c r="C4539" t="s">
        <v>43</v>
      </c>
      <c r="D4539" t="str">
        <f t="shared" si="159"/>
        <v>577413</v>
      </c>
      <c r="E4539" t="s">
        <v>4764</v>
      </c>
      <c r="F4539" t="s">
        <v>44</v>
      </c>
    </row>
    <row r="4540" spans="1:6" x14ac:dyDescent="0.25">
      <c r="A4540" t="str">
        <f>"62014021"</f>
        <v>62014021</v>
      </c>
      <c r="B4540" t="s">
        <v>4773</v>
      </c>
      <c r="C4540" t="s">
        <v>15</v>
      </c>
      <c r="D4540" t="str">
        <f t="shared" si="159"/>
        <v>577413</v>
      </c>
      <c r="E4540" t="s">
        <v>4764</v>
      </c>
      <c r="F4540" t="s">
        <v>16</v>
      </c>
    </row>
    <row r="4541" spans="1:6" x14ac:dyDescent="0.25">
      <c r="A4541" t="str">
        <f>"72063891"</f>
        <v>72063891</v>
      </c>
      <c r="B4541" t="s">
        <v>4774</v>
      </c>
      <c r="C4541" t="s">
        <v>15</v>
      </c>
      <c r="D4541" t="str">
        <f t="shared" si="159"/>
        <v>577413</v>
      </c>
      <c r="E4541" t="s">
        <v>4764</v>
      </c>
      <c r="F4541" t="s">
        <v>621</v>
      </c>
    </row>
    <row r="4542" spans="1:6" x14ac:dyDescent="0.25">
      <c r="A4542" t="str">
        <f>"49294610"</f>
        <v>49294610</v>
      </c>
      <c r="B4542" t="s">
        <v>4775</v>
      </c>
      <c r="C4542" t="s">
        <v>7</v>
      </c>
      <c r="D4542" t="str">
        <f t="shared" si="159"/>
        <v>577413</v>
      </c>
      <c r="E4542" t="s">
        <v>4764</v>
      </c>
      <c r="F4542" t="s">
        <v>65</v>
      </c>
    </row>
    <row r="4543" spans="1:6" x14ac:dyDescent="0.25">
      <c r="A4543" t="str">
        <f>"01964062"</f>
        <v>01964062</v>
      </c>
      <c r="B4543" t="s">
        <v>4776</v>
      </c>
      <c r="C4543" t="s">
        <v>7</v>
      </c>
      <c r="D4543" t="str">
        <f t="shared" si="159"/>
        <v>577413</v>
      </c>
      <c r="E4543" t="s">
        <v>4764</v>
      </c>
      <c r="F4543" t="s">
        <v>35</v>
      </c>
    </row>
    <row r="4544" spans="1:6" x14ac:dyDescent="0.25">
      <c r="A4544" t="str">
        <f>"08840466"</f>
        <v>08840466</v>
      </c>
      <c r="B4544" t="s">
        <v>4777</v>
      </c>
      <c r="C4544" t="s">
        <v>7</v>
      </c>
      <c r="D4544" t="str">
        <f t="shared" ref="D4544:D4549" si="160">"577421"</f>
        <v>577421</v>
      </c>
      <c r="E4544" t="s">
        <v>4778</v>
      </c>
      <c r="F4544" t="s">
        <v>62</v>
      </c>
    </row>
    <row r="4545" spans="1:6" x14ac:dyDescent="0.25">
      <c r="A4545" t="str">
        <f>"45599360"</f>
        <v>45599360</v>
      </c>
      <c r="B4545" t="s">
        <v>4779</v>
      </c>
      <c r="C4545" t="s">
        <v>37</v>
      </c>
      <c r="D4545" t="str">
        <f t="shared" si="160"/>
        <v>577421</v>
      </c>
      <c r="E4545" t="s">
        <v>4778</v>
      </c>
      <c r="F4545" t="s">
        <v>38</v>
      </c>
    </row>
    <row r="4546" spans="1:6" x14ac:dyDescent="0.25">
      <c r="A4546" t="str">
        <f>"62014013"</f>
        <v>62014013</v>
      </c>
      <c r="B4546" t="s">
        <v>4780</v>
      </c>
      <c r="C4546" t="s">
        <v>15</v>
      </c>
      <c r="D4546" t="str">
        <f t="shared" si="160"/>
        <v>577421</v>
      </c>
      <c r="E4546" t="s">
        <v>4778</v>
      </c>
      <c r="F4546" t="s">
        <v>16</v>
      </c>
    </row>
    <row r="4547" spans="1:6" x14ac:dyDescent="0.25">
      <c r="A4547" t="str">
        <f>"62013068"</f>
        <v>62013068</v>
      </c>
      <c r="B4547" t="s">
        <v>4781</v>
      </c>
      <c r="C4547" t="s">
        <v>15</v>
      </c>
      <c r="D4547" t="str">
        <f t="shared" si="160"/>
        <v>577421</v>
      </c>
      <c r="E4547" t="s">
        <v>4778</v>
      </c>
      <c r="F4547" t="s">
        <v>16</v>
      </c>
    </row>
    <row r="4548" spans="1:6" x14ac:dyDescent="0.25">
      <c r="A4548" t="str">
        <f>"03233286"</f>
        <v>03233286</v>
      </c>
      <c r="B4548" t="s">
        <v>4782</v>
      </c>
      <c r="C4548" t="s">
        <v>7</v>
      </c>
      <c r="D4548" t="str">
        <f t="shared" si="160"/>
        <v>577421</v>
      </c>
      <c r="E4548" t="s">
        <v>4778</v>
      </c>
      <c r="F4548" t="s">
        <v>11</v>
      </c>
    </row>
    <row r="4549" spans="1:6" x14ac:dyDescent="0.25">
      <c r="A4549" t="str">
        <f>"68210442"</f>
        <v>68210442</v>
      </c>
      <c r="B4549" t="s">
        <v>4783</v>
      </c>
      <c r="C4549" t="s">
        <v>15</v>
      </c>
      <c r="D4549" t="str">
        <f t="shared" si="160"/>
        <v>577421</v>
      </c>
      <c r="E4549" t="s">
        <v>4778</v>
      </c>
      <c r="F4549" t="s">
        <v>9</v>
      </c>
    </row>
    <row r="4550" spans="1:6" x14ac:dyDescent="0.25">
      <c r="A4550" t="str">
        <f>"70582971"</f>
        <v>70582971</v>
      </c>
      <c r="B4550" t="s">
        <v>4784</v>
      </c>
      <c r="C4550" t="s">
        <v>7</v>
      </c>
      <c r="D4550" t="str">
        <f t="shared" ref="D4550:D4559" si="161">"564354"</f>
        <v>564354</v>
      </c>
      <c r="E4550" t="s">
        <v>4785</v>
      </c>
      <c r="F4550" t="s">
        <v>11</v>
      </c>
    </row>
    <row r="4551" spans="1:6" x14ac:dyDescent="0.25">
      <c r="A4551" t="str">
        <f>"21791406"</f>
        <v>21791406</v>
      </c>
      <c r="B4551" t="s">
        <v>4786</v>
      </c>
      <c r="C4551" t="s">
        <v>7</v>
      </c>
      <c r="D4551" t="str">
        <f t="shared" si="161"/>
        <v>564354</v>
      </c>
      <c r="E4551" t="s">
        <v>4785</v>
      </c>
      <c r="F4551" t="s">
        <v>11</v>
      </c>
    </row>
    <row r="4552" spans="1:6" x14ac:dyDescent="0.25">
      <c r="A4552" t="str">
        <f>"46744045"</f>
        <v>46744045</v>
      </c>
      <c r="B4552" t="s">
        <v>4787</v>
      </c>
      <c r="C4552" t="s">
        <v>7</v>
      </c>
      <c r="D4552" t="str">
        <f t="shared" si="161"/>
        <v>564354</v>
      </c>
      <c r="E4552" t="s">
        <v>4785</v>
      </c>
      <c r="F4552" t="s">
        <v>9</v>
      </c>
    </row>
    <row r="4553" spans="1:6" x14ac:dyDescent="0.25">
      <c r="A4553" t="str">
        <f>"02086344"</f>
        <v>02086344</v>
      </c>
      <c r="B4553" t="s">
        <v>4788</v>
      </c>
      <c r="C4553" t="s">
        <v>7</v>
      </c>
      <c r="D4553" t="str">
        <f t="shared" si="161"/>
        <v>564354</v>
      </c>
      <c r="E4553" t="s">
        <v>4785</v>
      </c>
      <c r="F4553" t="s">
        <v>9</v>
      </c>
    </row>
    <row r="4554" spans="1:6" x14ac:dyDescent="0.25">
      <c r="A4554" t="str">
        <f>"64039056"</f>
        <v>64039056</v>
      </c>
      <c r="B4554" t="s">
        <v>4789</v>
      </c>
      <c r="C4554" t="s">
        <v>15</v>
      </c>
      <c r="D4554" t="str">
        <f t="shared" si="161"/>
        <v>564354</v>
      </c>
      <c r="E4554" t="s">
        <v>4785</v>
      </c>
      <c r="F4554" t="s">
        <v>16</v>
      </c>
    </row>
    <row r="4555" spans="1:6" x14ac:dyDescent="0.25">
      <c r="A4555" t="str">
        <f>"26586339"</f>
        <v>26586339</v>
      </c>
      <c r="B4555" t="s">
        <v>4790</v>
      </c>
      <c r="C4555" t="s">
        <v>7</v>
      </c>
      <c r="D4555" t="str">
        <f t="shared" si="161"/>
        <v>564354</v>
      </c>
      <c r="E4555" t="s">
        <v>4785</v>
      </c>
      <c r="F4555" t="s">
        <v>11</v>
      </c>
    </row>
    <row r="4556" spans="1:6" x14ac:dyDescent="0.25">
      <c r="A4556" t="str">
        <f>"02756919"</f>
        <v>02756919</v>
      </c>
      <c r="B4556" t="s">
        <v>4791</v>
      </c>
      <c r="C4556" t="s">
        <v>7</v>
      </c>
      <c r="D4556" t="str">
        <f t="shared" si="161"/>
        <v>564354</v>
      </c>
      <c r="E4556" t="s">
        <v>4785</v>
      </c>
      <c r="F4556" t="s">
        <v>11</v>
      </c>
    </row>
    <row r="4557" spans="1:6" x14ac:dyDescent="0.25">
      <c r="A4557" t="str">
        <f>"46744011"</f>
        <v>46744011</v>
      </c>
      <c r="B4557" t="s">
        <v>4792</v>
      </c>
      <c r="C4557" t="s">
        <v>7</v>
      </c>
      <c r="D4557" t="str">
        <f t="shared" si="161"/>
        <v>564354</v>
      </c>
      <c r="E4557" t="s">
        <v>4785</v>
      </c>
      <c r="F4557" t="s">
        <v>9</v>
      </c>
    </row>
    <row r="4558" spans="1:6" x14ac:dyDescent="0.25">
      <c r="A4558" t="str">
        <f>"68455861"</f>
        <v>68455861</v>
      </c>
      <c r="B4558" t="s">
        <v>4793</v>
      </c>
      <c r="C4558" t="s">
        <v>15</v>
      </c>
      <c r="D4558" t="str">
        <f t="shared" si="161"/>
        <v>564354</v>
      </c>
      <c r="E4558" t="s">
        <v>4785</v>
      </c>
      <c r="F4558" t="s">
        <v>29</v>
      </c>
    </row>
    <row r="4559" spans="1:6" x14ac:dyDescent="0.25">
      <c r="A4559" t="str">
        <f>"28555759"</f>
        <v>28555759</v>
      </c>
      <c r="B4559" t="s">
        <v>4794</v>
      </c>
      <c r="C4559" t="s">
        <v>7</v>
      </c>
      <c r="D4559" t="str">
        <f t="shared" si="161"/>
        <v>564354</v>
      </c>
      <c r="E4559" t="s">
        <v>4785</v>
      </c>
      <c r="F4559" t="s">
        <v>183</v>
      </c>
    </row>
    <row r="4560" spans="1:6" x14ac:dyDescent="0.25">
      <c r="A4560" t="str">
        <f>"22761748"</f>
        <v>22761748</v>
      </c>
      <c r="B4560" t="s">
        <v>4795</v>
      </c>
      <c r="C4560" t="s">
        <v>7</v>
      </c>
      <c r="D4560" t="str">
        <f t="shared" ref="D4560:D4569" si="162">"544582"</f>
        <v>544582</v>
      </c>
      <c r="E4560" t="s">
        <v>4796</v>
      </c>
      <c r="F4560" t="s">
        <v>11</v>
      </c>
    </row>
    <row r="4561" spans="1:6" x14ac:dyDescent="0.25">
      <c r="A4561" t="str">
        <f>"10812474"</f>
        <v>10812474</v>
      </c>
      <c r="B4561" t="s">
        <v>4797</v>
      </c>
      <c r="C4561" t="s">
        <v>7</v>
      </c>
      <c r="D4561" t="str">
        <f t="shared" si="162"/>
        <v>544582</v>
      </c>
      <c r="E4561" t="s">
        <v>4796</v>
      </c>
      <c r="F4561" t="s">
        <v>13</v>
      </c>
    </row>
    <row r="4562" spans="1:6" x14ac:dyDescent="0.25">
      <c r="A4562" t="str">
        <f>"04963156"</f>
        <v>04963156</v>
      </c>
      <c r="B4562" t="s">
        <v>4798</v>
      </c>
      <c r="C4562" t="s">
        <v>7</v>
      </c>
      <c r="D4562" t="str">
        <f t="shared" si="162"/>
        <v>544582</v>
      </c>
      <c r="E4562" t="s">
        <v>4796</v>
      </c>
      <c r="F4562" t="s">
        <v>29</v>
      </c>
    </row>
    <row r="4563" spans="1:6" x14ac:dyDescent="0.25">
      <c r="A4563" t="str">
        <f>"10877282"</f>
        <v>10877282</v>
      </c>
      <c r="B4563" t="s">
        <v>4799</v>
      </c>
      <c r="C4563" t="s">
        <v>7</v>
      </c>
      <c r="D4563" t="str">
        <f t="shared" si="162"/>
        <v>544582</v>
      </c>
      <c r="E4563" t="s">
        <v>4796</v>
      </c>
      <c r="F4563" t="s">
        <v>18</v>
      </c>
    </row>
    <row r="4564" spans="1:6" x14ac:dyDescent="0.25">
      <c r="A4564" t="str">
        <f>"46746161"</f>
        <v>46746161</v>
      </c>
      <c r="B4564" t="s">
        <v>4800</v>
      </c>
      <c r="C4564" t="s">
        <v>15</v>
      </c>
      <c r="D4564" t="str">
        <f t="shared" si="162"/>
        <v>544582</v>
      </c>
      <c r="E4564" t="s">
        <v>4796</v>
      </c>
      <c r="F4564" t="s">
        <v>16</v>
      </c>
    </row>
    <row r="4565" spans="1:6" x14ac:dyDescent="0.25">
      <c r="A4565" t="str">
        <f>"22742051"</f>
        <v>22742051</v>
      </c>
      <c r="B4565" t="s">
        <v>4801</v>
      </c>
      <c r="C4565" t="s">
        <v>7</v>
      </c>
      <c r="D4565" t="str">
        <f t="shared" si="162"/>
        <v>544582</v>
      </c>
      <c r="E4565" t="s">
        <v>4796</v>
      </c>
      <c r="F4565" t="s">
        <v>137</v>
      </c>
    </row>
    <row r="4566" spans="1:6" x14ac:dyDescent="0.25">
      <c r="A4566" t="str">
        <f>"26647443"</f>
        <v>26647443</v>
      </c>
      <c r="B4566" t="s">
        <v>4802</v>
      </c>
      <c r="C4566" t="s">
        <v>7</v>
      </c>
      <c r="D4566" t="str">
        <f t="shared" si="162"/>
        <v>544582</v>
      </c>
      <c r="E4566" t="s">
        <v>4796</v>
      </c>
      <c r="F4566" t="s">
        <v>9</v>
      </c>
    </row>
    <row r="4567" spans="1:6" x14ac:dyDescent="0.25">
      <c r="A4567" t="str">
        <f>"44225725"</f>
        <v>44225725</v>
      </c>
      <c r="B4567" t="s">
        <v>4803</v>
      </c>
      <c r="C4567" t="s">
        <v>15</v>
      </c>
      <c r="D4567" t="str">
        <f t="shared" si="162"/>
        <v>544582</v>
      </c>
      <c r="E4567" t="s">
        <v>4796</v>
      </c>
      <c r="F4567" t="s">
        <v>9</v>
      </c>
    </row>
    <row r="4568" spans="1:6" x14ac:dyDescent="0.25">
      <c r="A4568" t="str">
        <f>"22662618"</f>
        <v>22662618</v>
      </c>
      <c r="B4568" t="s">
        <v>4804</v>
      </c>
      <c r="C4568" t="s">
        <v>7</v>
      </c>
      <c r="D4568" t="str">
        <f t="shared" si="162"/>
        <v>544582</v>
      </c>
      <c r="E4568" t="s">
        <v>4796</v>
      </c>
      <c r="F4568" t="s">
        <v>11</v>
      </c>
    </row>
    <row r="4569" spans="1:6" x14ac:dyDescent="0.25">
      <c r="A4569" t="str">
        <f>"04952251"</f>
        <v>04952251</v>
      </c>
      <c r="B4569" t="s">
        <v>4805</v>
      </c>
      <c r="C4569" t="s">
        <v>7</v>
      </c>
      <c r="D4569" t="str">
        <f t="shared" si="162"/>
        <v>544582</v>
      </c>
      <c r="E4569" t="s">
        <v>4796</v>
      </c>
      <c r="F4569" t="s">
        <v>11</v>
      </c>
    </row>
    <row r="4570" spans="1:6" x14ac:dyDescent="0.25">
      <c r="A4570" t="str">
        <f>"26618176"</f>
        <v>26618176</v>
      </c>
      <c r="B4570" t="s">
        <v>4806</v>
      </c>
      <c r="C4570" t="s">
        <v>7</v>
      </c>
      <c r="D4570" t="str">
        <f>"577430"</f>
        <v>577430</v>
      </c>
      <c r="E4570" t="s">
        <v>4807</v>
      </c>
      <c r="F4570" t="s">
        <v>9</v>
      </c>
    </row>
    <row r="4571" spans="1:6" x14ac:dyDescent="0.25">
      <c r="A4571" t="str">
        <f>"62014111"</f>
        <v>62014111</v>
      </c>
      <c r="B4571" t="s">
        <v>4808</v>
      </c>
      <c r="C4571" t="s">
        <v>15</v>
      </c>
      <c r="D4571" t="str">
        <f>"577430"</f>
        <v>577430</v>
      </c>
      <c r="E4571" t="s">
        <v>4807</v>
      </c>
      <c r="F4571" t="s">
        <v>16</v>
      </c>
    </row>
    <row r="4572" spans="1:6" x14ac:dyDescent="0.25">
      <c r="A4572" t="str">
        <f>"05082188"</f>
        <v>05082188</v>
      </c>
      <c r="B4572" t="s">
        <v>4809</v>
      </c>
      <c r="C4572" t="s">
        <v>7</v>
      </c>
      <c r="D4572" t="str">
        <f>"577430"</f>
        <v>577430</v>
      </c>
      <c r="E4572" t="s">
        <v>4807</v>
      </c>
      <c r="F4572" t="s">
        <v>29</v>
      </c>
    </row>
    <row r="4573" spans="1:6" x14ac:dyDescent="0.25">
      <c r="A4573" t="str">
        <f>"08878871"</f>
        <v>08878871</v>
      </c>
      <c r="B4573" t="s">
        <v>4810</v>
      </c>
      <c r="C4573" t="s">
        <v>7</v>
      </c>
      <c r="D4573" t="str">
        <f>"577430"</f>
        <v>577430</v>
      </c>
      <c r="E4573" t="s">
        <v>4807</v>
      </c>
      <c r="F4573" t="s">
        <v>62</v>
      </c>
    </row>
    <row r="4574" spans="1:6" x14ac:dyDescent="0.25">
      <c r="A4574" t="str">
        <f>"69898065"</f>
        <v>69898065</v>
      </c>
      <c r="B4574" t="s">
        <v>4811</v>
      </c>
      <c r="C4574" t="s">
        <v>7</v>
      </c>
      <c r="D4574" t="str">
        <f>"530387"</f>
        <v>530387</v>
      </c>
      <c r="E4574" t="s">
        <v>4812</v>
      </c>
      <c r="F4574" t="s">
        <v>11</v>
      </c>
    </row>
    <row r="4575" spans="1:6" x14ac:dyDescent="0.25">
      <c r="A4575" t="str">
        <f>"09014501"</f>
        <v>09014501</v>
      </c>
      <c r="B4575" t="s">
        <v>4813</v>
      </c>
      <c r="C4575" t="s">
        <v>15</v>
      </c>
      <c r="D4575" t="str">
        <f>"563773"</f>
        <v>563773</v>
      </c>
      <c r="E4575" t="s">
        <v>4814</v>
      </c>
      <c r="F4575" t="s">
        <v>62</v>
      </c>
    </row>
    <row r="4576" spans="1:6" x14ac:dyDescent="0.25">
      <c r="A4576" t="str">
        <f>"22736603"</f>
        <v>22736603</v>
      </c>
      <c r="B4576" t="s">
        <v>4815</v>
      </c>
      <c r="C4576" t="s">
        <v>7</v>
      </c>
      <c r="D4576" t="str">
        <f>"563773"</f>
        <v>563773</v>
      </c>
      <c r="E4576" t="s">
        <v>4814</v>
      </c>
      <c r="F4576" t="s">
        <v>11</v>
      </c>
    </row>
    <row r="4577" spans="1:6" x14ac:dyDescent="0.25">
      <c r="A4577" t="str">
        <f>"64668185"</f>
        <v>64668185</v>
      </c>
      <c r="B4577" t="s">
        <v>4816</v>
      </c>
      <c r="C4577" t="s">
        <v>15</v>
      </c>
      <c r="D4577" t="str">
        <f>"563773"</f>
        <v>563773</v>
      </c>
      <c r="E4577" t="s">
        <v>4814</v>
      </c>
      <c r="F4577" t="s">
        <v>16</v>
      </c>
    </row>
    <row r="4578" spans="1:6" x14ac:dyDescent="0.25">
      <c r="A4578" t="str">
        <f>"60253291"</f>
        <v>60253291</v>
      </c>
      <c r="B4578" t="s">
        <v>4817</v>
      </c>
      <c r="C4578" t="s">
        <v>15</v>
      </c>
      <c r="D4578" t="str">
        <f>"563773"</f>
        <v>563773</v>
      </c>
      <c r="E4578" t="s">
        <v>4814</v>
      </c>
      <c r="F4578" t="s">
        <v>9</v>
      </c>
    </row>
    <row r="4579" spans="1:6" x14ac:dyDescent="0.25">
      <c r="A4579" t="str">
        <f>"16389409"</f>
        <v>16389409</v>
      </c>
      <c r="B4579" t="s">
        <v>4818</v>
      </c>
      <c r="C4579" t="s">
        <v>7</v>
      </c>
      <c r="D4579" t="str">
        <f>"563773"</f>
        <v>563773</v>
      </c>
      <c r="E4579" t="s">
        <v>4814</v>
      </c>
      <c r="F4579" t="s">
        <v>9</v>
      </c>
    </row>
    <row r="4580" spans="1:6" x14ac:dyDescent="0.25">
      <c r="A4580" t="str">
        <f>"69861323"</f>
        <v>69861323</v>
      </c>
      <c r="B4580" t="s">
        <v>4819</v>
      </c>
      <c r="C4580" t="s">
        <v>7</v>
      </c>
      <c r="D4580" t="str">
        <f>"577448"</f>
        <v>577448</v>
      </c>
      <c r="E4580" t="s">
        <v>4820</v>
      </c>
      <c r="F4580" t="s">
        <v>328</v>
      </c>
    </row>
    <row r="4581" spans="1:6" x14ac:dyDescent="0.25">
      <c r="A4581" t="str">
        <f>"26645238"</f>
        <v>26645238</v>
      </c>
      <c r="B4581" t="s">
        <v>4821</v>
      </c>
      <c r="C4581" t="s">
        <v>7</v>
      </c>
      <c r="D4581" t="str">
        <f t="shared" ref="D4581:D4601" si="163">"562017"</f>
        <v>562017</v>
      </c>
      <c r="E4581" t="s">
        <v>4822</v>
      </c>
      <c r="F4581" t="s">
        <v>11</v>
      </c>
    </row>
    <row r="4582" spans="1:6" x14ac:dyDescent="0.25">
      <c r="A4582" t="str">
        <f>"22039007"</f>
        <v>22039007</v>
      </c>
      <c r="B4582" t="s">
        <v>4823</v>
      </c>
      <c r="C4582" t="s">
        <v>7</v>
      </c>
      <c r="D4582" t="str">
        <f t="shared" si="163"/>
        <v>562017</v>
      </c>
      <c r="E4582" t="s">
        <v>4822</v>
      </c>
      <c r="F4582" t="s">
        <v>11</v>
      </c>
    </row>
    <row r="4583" spans="1:6" x14ac:dyDescent="0.25">
      <c r="A4583" t="str">
        <f>"22854819"</f>
        <v>22854819</v>
      </c>
      <c r="B4583" t="s">
        <v>4824</v>
      </c>
      <c r="C4583" t="s">
        <v>7</v>
      </c>
      <c r="D4583" t="str">
        <f t="shared" si="163"/>
        <v>562017</v>
      </c>
      <c r="E4583" t="s">
        <v>4822</v>
      </c>
      <c r="F4583" t="s">
        <v>62</v>
      </c>
    </row>
    <row r="4584" spans="1:6" x14ac:dyDescent="0.25">
      <c r="A4584" t="str">
        <f>"07132166"</f>
        <v>07132166</v>
      </c>
      <c r="B4584" t="s">
        <v>4825</v>
      </c>
      <c r="C4584" t="s">
        <v>7</v>
      </c>
      <c r="D4584" t="str">
        <f t="shared" si="163"/>
        <v>562017</v>
      </c>
      <c r="E4584" t="s">
        <v>4822</v>
      </c>
      <c r="F4584" t="s">
        <v>11</v>
      </c>
    </row>
    <row r="4585" spans="1:6" x14ac:dyDescent="0.25">
      <c r="A4585" t="str">
        <f>"22684662"</f>
        <v>22684662</v>
      </c>
      <c r="B4585" t="s">
        <v>4826</v>
      </c>
      <c r="C4585" t="s">
        <v>7</v>
      </c>
      <c r="D4585" t="str">
        <f t="shared" si="163"/>
        <v>562017</v>
      </c>
      <c r="E4585" t="s">
        <v>4822</v>
      </c>
      <c r="F4585" t="s">
        <v>11</v>
      </c>
    </row>
    <row r="4586" spans="1:6" x14ac:dyDescent="0.25">
      <c r="A4586" t="str">
        <f>"04846168"</f>
        <v>04846168</v>
      </c>
      <c r="B4586" t="s">
        <v>4827</v>
      </c>
      <c r="C4586" t="s">
        <v>15</v>
      </c>
      <c r="D4586" t="str">
        <f t="shared" si="163"/>
        <v>562017</v>
      </c>
      <c r="E4586" t="s">
        <v>4822</v>
      </c>
      <c r="F4586" t="s">
        <v>29</v>
      </c>
    </row>
    <row r="4587" spans="1:6" x14ac:dyDescent="0.25">
      <c r="A4587" t="str">
        <f>"02464306"</f>
        <v>02464306</v>
      </c>
      <c r="B4587" t="s">
        <v>4828</v>
      </c>
      <c r="C4587" t="s">
        <v>7</v>
      </c>
      <c r="D4587" t="str">
        <f t="shared" si="163"/>
        <v>562017</v>
      </c>
      <c r="E4587" t="s">
        <v>4822</v>
      </c>
      <c r="F4587" t="s">
        <v>328</v>
      </c>
    </row>
    <row r="4588" spans="1:6" x14ac:dyDescent="0.25">
      <c r="A4588" t="str">
        <f>"01834410"</f>
        <v>01834410</v>
      </c>
      <c r="B4588" t="s">
        <v>4829</v>
      </c>
      <c r="C4588" t="s">
        <v>78</v>
      </c>
      <c r="D4588" t="str">
        <f t="shared" si="163"/>
        <v>562017</v>
      </c>
      <c r="E4588" t="s">
        <v>4822</v>
      </c>
      <c r="F4588" t="s">
        <v>13</v>
      </c>
    </row>
    <row r="4589" spans="1:6" x14ac:dyDescent="0.25">
      <c r="A4589" t="str">
        <f>"27004899"</f>
        <v>27004899</v>
      </c>
      <c r="B4589" t="s">
        <v>4830</v>
      </c>
      <c r="C4589" t="s">
        <v>7</v>
      </c>
      <c r="D4589" t="str">
        <f t="shared" si="163"/>
        <v>562017</v>
      </c>
      <c r="E4589" t="s">
        <v>4822</v>
      </c>
      <c r="F4589" t="s">
        <v>137</v>
      </c>
    </row>
    <row r="4590" spans="1:6" x14ac:dyDescent="0.25">
      <c r="A4590" t="str">
        <f>"63778394"</f>
        <v>63778394</v>
      </c>
      <c r="B4590" t="s">
        <v>4831</v>
      </c>
      <c r="C4590" t="s">
        <v>7</v>
      </c>
      <c r="D4590" t="str">
        <f t="shared" si="163"/>
        <v>562017</v>
      </c>
      <c r="E4590" t="s">
        <v>4822</v>
      </c>
      <c r="F4590" t="s">
        <v>38</v>
      </c>
    </row>
    <row r="4591" spans="1:6" x14ac:dyDescent="0.25">
      <c r="A4591" t="str">
        <f>"26619580"</f>
        <v>26619580</v>
      </c>
      <c r="B4591" t="s">
        <v>4832</v>
      </c>
      <c r="C4591" t="s">
        <v>7</v>
      </c>
      <c r="D4591" t="str">
        <f t="shared" si="163"/>
        <v>562017</v>
      </c>
      <c r="E4591" t="s">
        <v>4822</v>
      </c>
      <c r="F4591" t="s">
        <v>38</v>
      </c>
    </row>
    <row r="4592" spans="1:6" x14ac:dyDescent="0.25">
      <c r="A4592" t="str">
        <f>"19343990"</f>
        <v>19343990</v>
      </c>
      <c r="B4592" t="s">
        <v>4833</v>
      </c>
      <c r="C4592" t="s">
        <v>124</v>
      </c>
      <c r="D4592" t="str">
        <f t="shared" si="163"/>
        <v>562017</v>
      </c>
      <c r="E4592" t="s">
        <v>4822</v>
      </c>
      <c r="F4592" t="s">
        <v>11</v>
      </c>
    </row>
    <row r="4593" spans="1:6" x14ac:dyDescent="0.25">
      <c r="A4593" t="str">
        <f>"27047041"</f>
        <v>27047041</v>
      </c>
      <c r="B4593" t="s">
        <v>4834</v>
      </c>
      <c r="C4593" t="s">
        <v>7</v>
      </c>
      <c r="D4593" t="str">
        <f t="shared" si="163"/>
        <v>562017</v>
      </c>
      <c r="E4593" t="s">
        <v>4822</v>
      </c>
      <c r="F4593" t="s">
        <v>424</v>
      </c>
    </row>
    <row r="4594" spans="1:6" x14ac:dyDescent="0.25">
      <c r="A4594" t="str">
        <f>"72753552"</f>
        <v>72753552</v>
      </c>
      <c r="B4594" t="s">
        <v>4835</v>
      </c>
      <c r="C4594" t="s">
        <v>15</v>
      </c>
      <c r="D4594" t="str">
        <f t="shared" si="163"/>
        <v>562017</v>
      </c>
      <c r="E4594" t="s">
        <v>4822</v>
      </c>
      <c r="F4594" t="s">
        <v>11</v>
      </c>
    </row>
    <row r="4595" spans="1:6" x14ac:dyDescent="0.25">
      <c r="A4595" t="str">
        <f>"04881095"</f>
        <v>04881095</v>
      </c>
      <c r="B4595" t="s">
        <v>4836</v>
      </c>
      <c r="C4595" t="s">
        <v>7</v>
      </c>
      <c r="D4595" t="str">
        <f t="shared" si="163"/>
        <v>562017</v>
      </c>
      <c r="E4595" t="s">
        <v>4822</v>
      </c>
      <c r="F4595" t="s">
        <v>11</v>
      </c>
    </row>
    <row r="4596" spans="1:6" x14ac:dyDescent="0.25">
      <c r="A4596" t="str">
        <f>"65999231"</f>
        <v>65999231</v>
      </c>
      <c r="B4596" t="s">
        <v>4837</v>
      </c>
      <c r="C4596" t="s">
        <v>7</v>
      </c>
      <c r="D4596" t="str">
        <f t="shared" si="163"/>
        <v>562017</v>
      </c>
      <c r="E4596" t="s">
        <v>4822</v>
      </c>
      <c r="F4596" t="s">
        <v>11</v>
      </c>
    </row>
    <row r="4597" spans="1:6" x14ac:dyDescent="0.25">
      <c r="A4597" t="str">
        <f>"09454098"</f>
        <v>09454098</v>
      </c>
      <c r="B4597" t="s">
        <v>4838</v>
      </c>
      <c r="C4597" t="s">
        <v>15</v>
      </c>
      <c r="D4597" t="str">
        <f t="shared" si="163"/>
        <v>562017</v>
      </c>
      <c r="E4597" t="s">
        <v>4822</v>
      </c>
      <c r="F4597" t="s">
        <v>16</v>
      </c>
    </row>
    <row r="4598" spans="1:6" x14ac:dyDescent="0.25">
      <c r="A4598" t="str">
        <f>"26538083"</f>
        <v>26538083</v>
      </c>
      <c r="B4598" t="s">
        <v>4839</v>
      </c>
      <c r="C4598" t="s">
        <v>7</v>
      </c>
      <c r="D4598" t="str">
        <f t="shared" si="163"/>
        <v>562017</v>
      </c>
      <c r="E4598" t="s">
        <v>4822</v>
      </c>
      <c r="F4598" t="s">
        <v>11</v>
      </c>
    </row>
    <row r="4599" spans="1:6" x14ac:dyDescent="0.25">
      <c r="A4599" t="str">
        <f>"05735904"</f>
        <v>05735904</v>
      </c>
      <c r="B4599" t="s">
        <v>4840</v>
      </c>
      <c r="C4599" t="s">
        <v>7</v>
      </c>
      <c r="D4599" t="str">
        <f t="shared" si="163"/>
        <v>562017</v>
      </c>
      <c r="E4599" t="s">
        <v>4822</v>
      </c>
      <c r="F4599" t="s">
        <v>254</v>
      </c>
    </row>
    <row r="4600" spans="1:6" x14ac:dyDescent="0.25">
      <c r="A4600" t="str">
        <f>"27060381"</f>
        <v>27060381</v>
      </c>
      <c r="B4600" t="s">
        <v>4841</v>
      </c>
      <c r="C4600" t="s">
        <v>7</v>
      </c>
      <c r="D4600" t="str">
        <f t="shared" si="163"/>
        <v>562017</v>
      </c>
      <c r="E4600" t="s">
        <v>4822</v>
      </c>
      <c r="F4600" t="s">
        <v>11</v>
      </c>
    </row>
    <row r="4601" spans="1:6" x14ac:dyDescent="0.25">
      <c r="A4601" t="str">
        <f>"65650093"</f>
        <v>65650093</v>
      </c>
      <c r="B4601" t="s">
        <v>4842</v>
      </c>
      <c r="C4601" t="s">
        <v>15</v>
      </c>
      <c r="D4601" t="str">
        <f t="shared" si="163"/>
        <v>562017</v>
      </c>
      <c r="E4601" t="s">
        <v>4822</v>
      </c>
      <c r="F4601" t="s">
        <v>29</v>
      </c>
    </row>
    <row r="4602" spans="1:6" x14ac:dyDescent="0.25">
      <c r="A4602" t="str">
        <f>"18380395"</f>
        <v>18380395</v>
      </c>
      <c r="B4602" t="s">
        <v>4843</v>
      </c>
      <c r="C4602" t="s">
        <v>15</v>
      </c>
      <c r="D4602" t="str">
        <f t="shared" ref="D4602:D4636" si="164">"564371"</f>
        <v>564371</v>
      </c>
      <c r="E4602" t="s">
        <v>4844</v>
      </c>
      <c r="F4602" t="s">
        <v>9</v>
      </c>
    </row>
    <row r="4603" spans="1:6" x14ac:dyDescent="0.25">
      <c r="A4603" t="str">
        <f>"71240462"</f>
        <v>71240462</v>
      </c>
      <c r="B4603" t="s">
        <v>4845</v>
      </c>
      <c r="C4603" t="s">
        <v>15</v>
      </c>
      <c r="D4603" t="str">
        <f t="shared" si="164"/>
        <v>564371</v>
      </c>
      <c r="E4603" t="s">
        <v>4844</v>
      </c>
      <c r="F4603" t="s">
        <v>29</v>
      </c>
    </row>
    <row r="4604" spans="1:6" x14ac:dyDescent="0.25">
      <c r="A4604" t="str">
        <f>"71153969"</f>
        <v>71153969</v>
      </c>
      <c r="B4604" t="s">
        <v>4846</v>
      </c>
      <c r="C4604" t="s">
        <v>15</v>
      </c>
      <c r="D4604" t="str">
        <f t="shared" si="164"/>
        <v>564371</v>
      </c>
      <c r="E4604" t="s">
        <v>4844</v>
      </c>
      <c r="F4604" t="s">
        <v>29</v>
      </c>
    </row>
    <row r="4605" spans="1:6" x14ac:dyDescent="0.25">
      <c r="A4605" t="str">
        <f>"72067942"</f>
        <v>72067942</v>
      </c>
      <c r="B4605" t="s">
        <v>4847</v>
      </c>
      <c r="C4605" t="s">
        <v>15</v>
      </c>
      <c r="D4605" t="str">
        <f t="shared" si="164"/>
        <v>564371</v>
      </c>
      <c r="E4605" t="s">
        <v>4844</v>
      </c>
      <c r="F4605" t="s">
        <v>29</v>
      </c>
    </row>
    <row r="4606" spans="1:6" x14ac:dyDescent="0.25">
      <c r="A4606" t="str">
        <f>"22861769"</f>
        <v>22861769</v>
      </c>
      <c r="B4606" t="s">
        <v>4848</v>
      </c>
      <c r="C4606" t="s">
        <v>7</v>
      </c>
      <c r="D4606" t="str">
        <f t="shared" si="164"/>
        <v>564371</v>
      </c>
      <c r="E4606" t="s">
        <v>4844</v>
      </c>
      <c r="F4606" t="s">
        <v>62</v>
      </c>
    </row>
    <row r="4607" spans="1:6" x14ac:dyDescent="0.25">
      <c r="A4607" t="str">
        <f>"65100514"</f>
        <v>65100514</v>
      </c>
      <c r="B4607" t="s">
        <v>4849</v>
      </c>
      <c r="C4607" t="s">
        <v>7</v>
      </c>
      <c r="D4607" t="str">
        <f t="shared" si="164"/>
        <v>564371</v>
      </c>
      <c r="E4607" t="s">
        <v>4844</v>
      </c>
      <c r="F4607" t="s">
        <v>9</v>
      </c>
    </row>
    <row r="4608" spans="1:6" x14ac:dyDescent="0.25">
      <c r="A4608" t="str">
        <f>"71158774"</f>
        <v>71158774</v>
      </c>
      <c r="B4608" t="s">
        <v>4850</v>
      </c>
      <c r="C4608" t="s">
        <v>37</v>
      </c>
      <c r="D4608" t="str">
        <f t="shared" si="164"/>
        <v>564371</v>
      </c>
      <c r="E4608" t="s">
        <v>4844</v>
      </c>
      <c r="F4608" t="s">
        <v>38</v>
      </c>
    </row>
    <row r="4609" spans="1:6" x14ac:dyDescent="0.25">
      <c r="A4609" t="str">
        <f>"71179852"</f>
        <v>71179852</v>
      </c>
      <c r="B4609" t="s">
        <v>4851</v>
      </c>
      <c r="C4609" t="s">
        <v>37</v>
      </c>
      <c r="D4609" t="str">
        <f t="shared" si="164"/>
        <v>564371</v>
      </c>
      <c r="E4609" t="s">
        <v>4844</v>
      </c>
      <c r="F4609" t="s">
        <v>38</v>
      </c>
    </row>
    <row r="4610" spans="1:6" x14ac:dyDescent="0.25">
      <c r="A4610" t="str">
        <f>"46747397"</f>
        <v>46747397</v>
      </c>
      <c r="B4610" t="s">
        <v>4852</v>
      </c>
      <c r="C4610" t="s">
        <v>7</v>
      </c>
      <c r="D4610" t="str">
        <f t="shared" si="164"/>
        <v>564371</v>
      </c>
      <c r="E4610" t="s">
        <v>4844</v>
      </c>
      <c r="F4610" t="s">
        <v>9</v>
      </c>
    </row>
    <row r="4611" spans="1:6" x14ac:dyDescent="0.25">
      <c r="A4611" t="str">
        <f>"46744711"</f>
        <v>46744711</v>
      </c>
      <c r="B4611" t="s">
        <v>4853</v>
      </c>
      <c r="C4611" t="s">
        <v>7</v>
      </c>
      <c r="D4611" t="str">
        <f t="shared" si="164"/>
        <v>564371</v>
      </c>
      <c r="E4611" t="s">
        <v>4844</v>
      </c>
      <c r="F4611" t="s">
        <v>9</v>
      </c>
    </row>
    <row r="4612" spans="1:6" x14ac:dyDescent="0.25">
      <c r="A4612" t="str">
        <f>"65081471"</f>
        <v>65081471</v>
      </c>
      <c r="B4612" t="s">
        <v>4854</v>
      </c>
      <c r="C4612" t="s">
        <v>7</v>
      </c>
      <c r="D4612" t="str">
        <f t="shared" si="164"/>
        <v>564371</v>
      </c>
      <c r="E4612" t="s">
        <v>4844</v>
      </c>
      <c r="F4612" t="s">
        <v>139</v>
      </c>
    </row>
    <row r="4613" spans="1:6" x14ac:dyDescent="0.25">
      <c r="A4613" t="str">
        <f>"21537828"</f>
        <v>21537828</v>
      </c>
      <c r="B4613" t="s">
        <v>4855</v>
      </c>
      <c r="C4613" t="s">
        <v>7</v>
      </c>
      <c r="D4613" t="str">
        <f t="shared" si="164"/>
        <v>564371</v>
      </c>
      <c r="E4613" t="s">
        <v>4844</v>
      </c>
      <c r="F4613" t="s">
        <v>62</v>
      </c>
    </row>
    <row r="4614" spans="1:6" x14ac:dyDescent="0.25">
      <c r="A4614" t="str">
        <f>"27022625"</f>
        <v>27022625</v>
      </c>
      <c r="B4614" t="s">
        <v>4856</v>
      </c>
      <c r="C4614" t="s">
        <v>7</v>
      </c>
      <c r="D4614" t="str">
        <f t="shared" si="164"/>
        <v>564371</v>
      </c>
      <c r="E4614" t="s">
        <v>4844</v>
      </c>
      <c r="F4614" t="s">
        <v>11</v>
      </c>
    </row>
    <row r="4615" spans="1:6" x14ac:dyDescent="0.25">
      <c r="A4615" t="str">
        <f>"46746021"</f>
        <v>46746021</v>
      </c>
      <c r="B4615" t="s">
        <v>4857</v>
      </c>
      <c r="C4615" t="s">
        <v>7</v>
      </c>
      <c r="D4615" t="str">
        <f t="shared" si="164"/>
        <v>564371</v>
      </c>
      <c r="E4615" t="s">
        <v>4844</v>
      </c>
      <c r="F4615" t="s">
        <v>11</v>
      </c>
    </row>
    <row r="4616" spans="1:6" x14ac:dyDescent="0.25">
      <c r="A4616" t="str">
        <f>"09192832"</f>
        <v>09192832</v>
      </c>
      <c r="B4616" t="s">
        <v>4858</v>
      </c>
      <c r="C4616" t="s">
        <v>7</v>
      </c>
      <c r="D4616" t="str">
        <f t="shared" si="164"/>
        <v>564371</v>
      </c>
      <c r="E4616" t="s">
        <v>4844</v>
      </c>
      <c r="F4616" t="s">
        <v>11</v>
      </c>
    </row>
    <row r="4617" spans="1:6" x14ac:dyDescent="0.25">
      <c r="A4617" t="str">
        <f>"46745882"</f>
        <v>46745882</v>
      </c>
      <c r="B4617" t="s">
        <v>4859</v>
      </c>
      <c r="C4617" t="s">
        <v>7</v>
      </c>
      <c r="D4617" t="str">
        <f t="shared" si="164"/>
        <v>564371</v>
      </c>
      <c r="E4617" t="s">
        <v>4844</v>
      </c>
      <c r="F4617" t="s">
        <v>38</v>
      </c>
    </row>
    <row r="4618" spans="1:6" x14ac:dyDescent="0.25">
      <c r="A4618" t="str">
        <f>"26625687"</f>
        <v>26625687</v>
      </c>
      <c r="B4618" t="s">
        <v>4860</v>
      </c>
      <c r="C4618" t="s">
        <v>7</v>
      </c>
      <c r="D4618" t="str">
        <f t="shared" si="164"/>
        <v>564371</v>
      </c>
      <c r="E4618" t="s">
        <v>4844</v>
      </c>
      <c r="F4618" t="s">
        <v>11</v>
      </c>
    </row>
    <row r="4619" spans="1:6" x14ac:dyDescent="0.25">
      <c r="A4619" t="str">
        <f>"28554752"</f>
        <v>28554752</v>
      </c>
      <c r="B4619" t="s">
        <v>4861</v>
      </c>
      <c r="C4619" t="s">
        <v>7</v>
      </c>
      <c r="D4619" t="str">
        <f t="shared" si="164"/>
        <v>564371</v>
      </c>
      <c r="E4619" t="s">
        <v>4844</v>
      </c>
      <c r="F4619" t="s">
        <v>11</v>
      </c>
    </row>
    <row r="4620" spans="1:6" x14ac:dyDescent="0.25">
      <c r="A4620" t="str">
        <f>"02422361"</f>
        <v>02422361</v>
      </c>
      <c r="B4620" t="s">
        <v>4862</v>
      </c>
      <c r="C4620" t="s">
        <v>7</v>
      </c>
      <c r="D4620" t="str">
        <f t="shared" si="164"/>
        <v>564371</v>
      </c>
      <c r="E4620" t="s">
        <v>4844</v>
      </c>
      <c r="F4620" t="s">
        <v>11</v>
      </c>
    </row>
    <row r="4621" spans="1:6" x14ac:dyDescent="0.25">
      <c r="A4621" t="str">
        <f>"22750657"</f>
        <v>22750657</v>
      </c>
      <c r="B4621" t="s">
        <v>4863</v>
      </c>
      <c r="C4621" t="s">
        <v>7</v>
      </c>
      <c r="D4621" t="str">
        <f t="shared" si="164"/>
        <v>564371</v>
      </c>
      <c r="E4621" t="s">
        <v>4844</v>
      </c>
      <c r="F4621" t="s">
        <v>11</v>
      </c>
    </row>
    <row r="4622" spans="1:6" x14ac:dyDescent="0.25">
      <c r="A4622" t="str">
        <f>"46748474"</f>
        <v>46748474</v>
      </c>
      <c r="B4622" t="s">
        <v>4864</v>
      </c>
      <c r="C4622" t="s">
        <v>43</v>
      </c>
      <c r="D4622" t="str">
        <f t="shared" si="164"/>
        <v>564371</v>
      </c>
      <c r="E4622" t="s">
        <v>4844</v>
      </c>
      <c r="F4622" t="s">
        <v>44</v>
      </c>
    </row>
    <row r="4623" spans="1:6" x14ac:dyDescent="0.25">
      <c r="A4623" t="str">
        <f>"46748466"</f>
        <v>46748466</v>
      </c>
      <c r="B4623" t="s">
        <v>4865</v>
      </c>
      <c r="C4623" t="s">
        <v>43</v>
      </c>
      <c r="D4623" t="str">
        <f t="shared" si="164"/>
        <v>564371</v>
      </c>
      <c r="E4623" t="s">
        <v>4844</v>
      </c>
      <c r="F4623" t="s">
        <v>44</v>
      </c>
    </row>
    <row r="4624" spans="1:6" x14ac:dyDescent="0.25">
      <c r="A4624" t="str">
        <f>"08725586"</f>
        <v>08725586</v>
      </c>
      <c r="B4624" t="s">
        <v>4866</v>
      </c>
      <c r="C4624" t="s">
        <v>7</v>
      </c>
      <c r="D4624" t="str">
        <f t="shared" si="164"/>
        <v>564371</v>
      </c>
      <c r="E4624" t="s">
        <v>4844</v>
      </c>
      <c r="F4624" t="s">
        <v>11</v>
      </c>
    </row>
    <row r="4625" spans="1:6" x14ac:dyDescent="0.25">
      <c r="A4625" t="str">
        <f>"49111728"</f>
        <v>49111728</v>
      </c>
      <c r="B4625" t="s">
        <v>4867</v>
      </c>
      <c r="C4625" t="s">
        <v>15</v>
      </c>
      <c r="D4625" t="str">
        <f t="shared" si="164"/>
        <v>564371</v>
      </c>
      <c r="E4625" t="s">
        <v>4844</v>
      </c>
      <c r="F4625" t="s">
        <v>389</v>
      </c>
    </row>
    <row r="4626" spans="1:6" x14ac:dyDescent="0.25">
      <c r="A4626" t="str">
        <f>"49111779"</f>
        <v>49111779</v>
      </c>
      <c r="B4626" t="s">
        <v>4868</v>
      </c>
      <c r="C4626" t="s">
        <v>15</v>
      </c>
      <c r="D4626" t="str">
        <f t="shared" si="164"/>
        <v>564371</v>
      </c>
      <c r="E4626" t="s">
        <v>4844</v>
      </c>
      <c r="F4626" t="s">
        <v>16</v>
      </c>
    </row>
    <row r="4627" spans="1:6" x14ac:dyDescent="0.25">
      <c r="A4627" t="str">
        <f>"06368379"</f>
        <v>06368379</v>
      </c>
      <c r="B4627" t="s">
        <v>4869</v>
      </c>
      <c r="C4627" t="s">
        <v>7</v>
      </c>
      <c r="D4627" t="str">
        <f t="shared" si="164"/>
        <v>564371</v>
      </c>
      <c r="E4627" t="s">
        <v>4844</v>
      </c>
      <c r="F4627" t="s">
        <v>139</v>
      </c>
    </row>
    <row r="4628" spans="1:6" x14ac:dyDescent="0.25">
      <c r="A4628" t="str">
        <f>"17861560"</f>
        <v>17861560</v>
      </c>
      <c r="B4628" t="s">
        <v>4870</v>
      </c>
      <c r="C4628" t="s">
        <v>7</v>
      </c>
      <c r="D4628" t="str">
        <f t="shared" si="164"/>
        <v>564371</v>
      </c>
      <c r="E4628" t="s">
        <v>4844</v>
      </c>
      <c r="F4628" t="s">
        <v>13</v>
      </c>
    </row>
    <row r="4629" spans="1:6" x14ac:dyDescent="0.25">
      <c r="A4629" t="str">
        <f>"03987477"</f>
        <v>03987477</v>
      </c>
      <c r="B4629" t="s">
        <v>4871</v>
      </c>
      <c r="C4629" t="s">
        <v>7</v>
      </c>
      <c r="D4629" t="str">
        <f t="shared" si="164"/>
        <v>564371</v>
      </c>
      <c r="E4629" t="s">
        <v>4844</v>
      </c>
      <c r="F4629" t="s">
        <v>62</v>
      </c>
    </row>
    <row r="4630" spans="1:6" x14ac:dyDescent="0.25">
      <c r="A4630" t="str">
        <f>"22201432"</f>
        <v>22201432</v>
      </c>
      <c r="B4630" t="s">
        <v>4872</v>
      </c>
      <c r="C4630" t="s">
        <v>7</v>
      </c>
      <c r="D4630" t="str">
        <f t="shared" si="164"/>
        <v>564371</v>
      </c>
      <c r="E4630" t="s">
        <v>4844</v>
      </c>
      <c r="F4630" t="s">
        <v>35</v>
      </c>
    </row>
    <row r="4631" spans="1:6" x14ac:dyDescent="0.25">
      <c r="A4631" t="str">
        <f>"46745050"</f>
        <v>46745050</v>
      </c>
      <c r="B4631" t="s">
        <v>4873</v>
      </c>
      <c r="C4631" t="s">
        <v>7</v>
      </c>
      <c r="D4631" t="str">
        <f t="shared" si="164"/>
        <v>564371</v>
      </c>
      <c r="E4631" t="s">
        <v>4844</v>
      </c>
      <c r="F4631" t="s">
        <v>9</v>
      </c>
    </row>
    <row r="4632" spans="1:6" x14ac:dyDescent="0.25">
      <c r="A4632" t="str">
        <f>"21618674"</f>
        <v>21618674</v>
      </c>
      <c r="B4632" t="s">
        <v>4874</v>
      </c>
      <c r="C4632" t="s">
        <v>7</v>
      </c>
      <c r="D4632" t="str">
        <f t="shared" si="164"/>
        <v>564371</v>
      </c>
      <c r="E4632" t="s">
        <v>4844</v>
      </c>
      <c r="F4632" t="s">
        <v>62</v>
      </c>
    </row>
    <row r="4633" spans="1:6" x14ac:dyDescent="0.25">
      <c r="A4633" t="str">
        <f>"21687064"</f>
        <v>21687064</v>
      </c>
      <c r="B4633" t="s">
        <v>4875</v>
      </c>
      <c r="C4633" t="s">
        <v>7</v>
      </c>
      <c r="D4633" t="str">
        <f t="shared" si="164"/>
        <v>564371</v>
      </c>
      <c r="E4633" t="s">
        <v>4844</v>
      </c>
      <c r="F4633" t="s">
        <v>11</v>
      </c>
    </row>
    <row r="4634" spans="1:6" x14ac:dyDescent="0.25">
      <c r="A4634" t="str">
        <f>"06859968"</f>
        <v>06859968</v>
      </c>
      <c r="B4634" t="s">
        <v>4876</v>
      </c>
      <c r="C4634" t="s">
        <v>7</v>
      </c>
      <c r="D4634" t="str">
        <f t="shared" si="164"/>
        <v>564371</v>
      </c>
      <c r="E4634" t="s">
        <v>4844</v>
      </c>
      <c r="F4634" t="s">
        <v>11</v>
      </c>
    </row>
    <row r="4635" spans="1:6" x14ac:dyDescent="0.25">
      <c r="A4635" t="str">
        <f>"70937524"</f>
        <v>70937524</v>
      </c>
      <c r="B4635" t="s">
        <v>4877</v>
      </c>
      <c r="C4635" t="s">
        <v>15</v>
      </c>
      <c r="D4635" t="str">
        <f t="shared" si="164"/>
        <v>564371</v>
      </c>
      <c r="E4635" t="s">
        <v>4844</v>
      </c>
      <c r="F4635" t="s">
        <v>29</v>
      </c>
    </row>
    <row r="4636" spans="1:6" x14ac:dyDescent="0.25">
      <c r="A4636" t="str">
        <f>"71188231"</f>
        <v>71188231</v>
      </c>
      <c r="B4636" t="s">
        <v>4878</v>
      </c>
      <c r="C4636" t="s">
        <v>20</v>
      </c>
      <c r="D4636" t="str">
        <f t="shared" si="164"/>
        <v>564371</v>
      </c>
      <c r="E4636" t="s">
        <v>4844</v>
      </c>
      <c r="F4636" t="s">
        <v>21</v>
      </c>
    </row>
    <row r="4637" spans="1:6" x14ac:dyDescent="0.25">
      <c r="A4637" t="str">
        <f>"22719024"</f>
        <v>22719024</v>
      </c>
      <c r="B4637" t="s">
        <v>4879</v>
      </c>
      <c r="C4637" t="s">
        <v>15</v>
      </c>
      <c r="D4637" t="str">
        <f t="shared" ref="D4637:D4660" si="165">"577456"</f>
        <v>577456</v>
      </c>
      <c r="E4637" t="s">
        <v>4880</v>
      </c>
      <c r="F4637" t="s">
        <v>11</v>
      </c>
    </row>
    <row r="4638" spans="1:6" x14ac:dyDescent="0.25">
      <c r="A4638" t="str">
        <f>"49295403"</f>
        <v>49295403</v>
      </c>
      <c r="B4638" t="s">
        <v>4881</v>
      </c>
      <c r="C4638" t="s">
        <v>15</v>
      </c>
      <c r="D4638" t="str">
        <f t="shared" si="165"/>
        <v>577456</v>
      </c>
      <c r="E4638" t="s">
        <v>4880</v>
      </c>
      <c r="F4638" t="s">
        <v>29</v>
      </c>
    </row>
    <row r="4639" spans="1:6" x14ac:dyDescent="0.25">
      <c r="A4639" t="str">
        <f>"05006465"</f>
        <v>05006465</v>
      </c>
      <c r="B4639" t="s">
        <v>4882</v>
      </c>
      <c r="C4639" t="s">
        <v>7</v>
      </c>
      <c r="D4639" t="str">
        <f t="shared" si="165"/>
        <v>577456</v>
      </c>
      <c r="E4639" t="s">
        <v>4880</v>
      </c>
      <c r="F4639" t="s">
        <v>11</v>
      </c>
    </row>
    <row r="4640" spans="1:6" x14ac:dyDescent="0.25">
      <c r="A4640" t="str">
        <f>"22756710"</f>
        <v>22756710</v>
      </c>
      <c r="B4640" t="s">
        <v>4883</v>
      </c>
      <c r="C4640" t="s">
        <v>7</v>
      </c>
      <c r="D4640" t="str">
        <f t="shared" si="165"/>
        <v>577456</v>
      </c>
      <c r="E4640" t="s">
        <v>4880</v>
      </c>
      <c r="F4640" t="s">
        <v>328</v>
      </c>
    </row>
    <row r="4641" spans="1:6" x14ac:dyDescent="0.25">
      <c r="A4641" t="str">
        <f>"71177078"</f>
        <v>71177078</v>
      </c>
      <c r="B4641" t="s">
        <v>4884</v>
      </c>
      <c r="C4641" t="s">
        <v>37</v>
      </c>
      <c r="D4641" t="str">
        <f t="shared" si="165"/>
        <v>577456</v>
      </c>
      <c r="E4641" t="s">
        <v>4880</v>
      </c>
      <c r="F4641" t="s">
        <v>38</v>
      </c>
    </row>
    <row r="4642" spans="1:6" x14ac:dyDescent="0.25">
      <c r="A4642" t="str">
        <f>"62014552"</f>
        <v>62014552</v>
      </c>
      <c r="B4642" t="s">
        <v>4885</v>
      </c>
      <c r="C4642" t="s">
        <v>15</v>
      </c>
      <c r="D4642" t="str">
        <f t="shared" si="165"/>
        <v>577456</v>
      </c>
      <c r="E4642" t="s">
        <v>4880</v>
      </c>
      <c r="F4642" t="s">
        <v>11</v>
      </c>
    </row>
    <row r="4643" spans="1:6" x14ac:dyDescent="0.25">
      <c r="A4643" t="str">
        <f>"71215395"</f>
        <v>71215395</v>
      </c>
      <c r="B4643" t="s">
        <v>4886</v>
      </c>
      <c r="C4643" t="s">
        <v>15</v>
      </c>
      <c r="D4643" t="str">
        <f t="shared" si="165"/>
        <v>577456</v>
      </c>
      <c r="E4643" t="s">
        <v>4880</v>
      </c>
      <c r="F4643" t="s">
        <v>11</v>
      </c>
    </row>
    <row r="4644" spans="1:6" x14ac:dyDescent="0.25">
      <c r="A4644" t="str">
        <f>"62013289"</f>
        <v>62013289</v>
      </c>
      <c r="B4644" t="s">
        <v>4887</v>
      </c>
      <c r="C4644" t="s">
        <v>15</v>
      </c>
      <c r="D4644" t="str">
        <f t="shared" si="165"/>
        <v>577456</v>
      </c>
      <c r="E4644" t="s">
        <v>4880</v>
      </c>
      <c r="F4644" t="s">
        <v>29</v>
      </c>
    </row>
    <row r="4645" spans="1:6" x14ac:dyDescent="0.25">
      <c r="A4645" t="str">
        <f>"62012673"</f>
        <v>62012673</v>
      </c>
      <c r="B4645" t="s">
        <v>4888</v>
      </c>
      <c r="C4645" t="s">
        <v>43</v>
      </c>
      <c r="D4645" t="str">
        <f t="shared" si="165"/>
        <v>577456</v>
      </c>
      <c r="E4645" t="s">
        <v>4880</v>
      </c>
      <c r="F4645" t="s">
        <v>44</v>
      </c>
    </row>
    <row r="4646" spans="1:6" x14ac:dyDescent="0.25">
      <c r="A4646" t="str">
        <f>"17430739"</f>
        <v>17430739</v>
      </c>
      <c r="B4646" t="s">
        <v>4889</v>
      </c>
      <c r="C4646" t="s">
        <v>124</v>
      </c>
      <c r="D4646" t="str">
        <f t="shared" si="165"/>
        <v>577456</v>
      </c>
      <c r="E4646" t="s">
        <v>4880</v>
      </c>
      <c r="F4646" t="s">
        <v>11</v>
      </c>
    </row>
    <row r="4647" spans="1:6" x14ac:dyDescent="0.25">
      <c r="A4647" t="str">
        <f>"49295888"</f>
        <v>49295888</v>
      </c>
      <c r="B4647" t="s">
        <v>4890</v>
      </c>
      <c r="C4647" t="s">
        <v>43</v>
      </c>
      <c r="D4647" t="str">
        <f t="shared" si="165"/>
        <v>577456</v>
      </c>
      <c r="E4647" t="s">
        <v>4880</v>
      </c>
      <c r="F4647" t="s">
        <v>44</v>
      </c>
    </row>
    <row r="4648" spans="1:6" x14ac:dyDescent="0.25">
      <c r="A4648" t="str">
        <f>"64668690"</f>
        <v>64668690</v>
      </c>
      <c r="B4648" t="s">
        <v>4891</v>
      </c>
      <c r="C4648" t="s">
        <v>43</v>
      </c>
      <c r="D4648" t="str">
        <f t="shared" si="165"/>
        <v>577456</v>
      </c>
      <c r="E4648" t="s">
        <v>4880</v>
      </c>
      <c r="F4648" t="s">
        <v>44</v>
      </c>
    </row>
    <row r="4649" spans="1:6" x14ac:dyDescent="0.25">
      <c r="A4649" t="str">
        <f>"62014218"</f>
        <v>62014218</v>
      </c>
      <c r="B4649" t="s">
        <v>4892</v>
      </c>
      <c r="C4649" t="s">
        <v>15</v>
      </c>
      <c r="D4649" t="str">
        <f t="shared" si="165"/>
        <v>577456</v>
      </c>
      <c r="E4649" t="s">
        <v>4880</v>
      </c>
      <c r="F4649" t="s">
        <v>16</v>
      </c>
    </row>
    <row r="4650" spans="1:6" x14ac:dyDescent="0.25">
      <c r="A4650" t="str">
        <f>"62012771"</f>
        <v>62012771</v>
      </c>
      <c r="B4650" t="s">
        <v>4893</v>
      </c>
      <c r="C4650" t="s">
        <v>15</v>
      </c>
      <c r="D4650" t="str">
        <f t="shared" si="165"/>
        <v>577456</v>
      </c>
      <c r="E4650" t="s">
        <v>4880</v>
      </c>
      <c r="F4650" t="s">
        <v>16</v>
      </c>
    </row>
    <row r="4651" spans="1:6" x14ac:dyDescent="0.25">
      <c r="A4651" t="str">
        <f>"62013751"</f>
        <v>62013751</v>
      </c>
      <c r="B4651" t="s">
        <v>4894</v>
      </c>
      <c r="C4651" t="s">
        <v>15</v>
      </c>
      <c r="D4651" t="str">
        <f t="shared" si="165"/>
        <v>577456</v>
      </c>
      <c r="E4651" t="s">
        <v>4880</v>
      </c>
      <c r="F4651" t="s">
        <v>16</v>
      </c>
    </row>
    <row r="4652" spans="1:6" x14ac:dyDescent="0.25">
      <c r="A4652" t="str">
        <f>"22749845"</f>
        <v>22749845</v>
      </c>
      <c r="B4652" t="s">
        <v>4895</v>
      </c>
      <c r="C4652" t="s">
        <v>7</v>
      </c>
      <c r="D4652" t="str">
        <f t="shared" si="165"/>
        <v>577456</v>
      </c>
      <c r="E4652" t="s">
        <v>4880</v>
      </c>
      <c r="F4652" t="s">
        <v>35</v>
      </c>
    </row>
    <row r="4653" spans="1:6" x14ac:dyDescent="0.25">
      <c r="A4653" t="str">
        <f>"05665060"</f>
        <v>05665060</v>
      </c>
      <c r="B4653" t="s">
        <v>4896</v>
      </c>
      <c r="C4653" t="s">
        <v>7</v>
      </c>
      <c r="D4653" t="str">
        <f t="shared" si="165"/>
        <v>577456</v>
      </c>
      <c r="E4653" t="s">
        <v>4880</v>
      </c>
      <c r="F4653" t="s">
        <v>35</v>
      </c>
    </row>
    <row r="4654" spans="1:6" x14ac:dyDescent="0.25">
      <c r="A4654" t="str">
        <f>"27005666"</f>
        <v>27005666</v>
      </c>
      <c r="B4654" t="s">
        <v>4897</v>
      </c>
      <c r="C4654" t="s">
        <v>7</v>
      </c>
      <c r="D4654" t="str">
        <f t="shared" si="165"/>
        <v>577456</v>
      </c>
      <c r="E4654" t="s">
        <v>4880</v>
      </c>
      <c r="F4654" t="s">
        <v>11</v>
      </c>
    </row>
    <row r="4655" spans="1:6" x14ac:dyDescent="0.25">
      <c r="A4655" t="str">
        <f>"27058557"</f>
        <v>27058557</v>
      </c>
      <c r="B4655" t="s">
        <v>4898</v>
      </c>
      <c r="C4655" t="s">
        <v>7</v>
      </c>
      <c r="D4655" t="str">
        <f t="shared" si="165"/>
        <v>577456</v>
      </c>
      <c r="E4655" t="s">
        <v>4880</v>
      </c>
      <c r="F4655" t="s">
        <v>139</v>
      </c>
    </row>
    <row r="4656" spans="1:6" x14ac:dyDescent="0.25">
      <c r="A4656" t="str">
        <f>"27052281"</f>
        <v>27052281</v>
      </c>
      <c r="B4656" t="s">
        <v>4899</v>
      </c>
      <c r="C4656" t="s">
        <v>7</v>
      </c>
      <c r="D4656" t="str">
        <f t="shared" si="165"/>
        <v>577456</v>
      </c>
      <c r="E4656" t="s">
        <v>4880</v>
      </c>
      <c r="F4656" t="s">
        <v>11</v>
      </c>
    </row>
    <row r="4657" spans="1:6" x14ac:dyDescent="0.25">
      <c r="A4657" t="str">
        <f>"00527611"</f>
        <v>00527611</v>
      </c>
      <c r="B4657" t="s">
        <v>4900</v>
      </c>
      <c r="C4657" t="s">
        <v>7</v>
      </c>
      <c r="D4657" t="str">
        <f t="shared" si="165"/>
        <v>577456</v>
      </c>
      <c r="E4657" t="s">
        <v>4880</v>
      </c>
      <c r="F4657" t="s">
        <v>65</v>
      </c>
    </row>
    <row r="4658" spans="1:6" x14ac:dyDescent="0.25">
      <c r="A4658" t="str">
        <f>"07644094"</f>
        <v>07644094</v>
      </c>
      <c r="B4658" t="s">
        <v>4901</v>
      </c>
      <c r="C4658" t="s">
        <v>7</v>
      </c>
      <c r="D4658" t="str">
        <f t="shared" si="165"/>
        <v>577456</v>
      </c>
      <c r="E4658" t="s">
        <v>4880</v>
      </c>
      <c r="F4658" t="s">
        <v>11</v>
      </c>
    </row>
    <row r="4659" spans="1:6" x14ac:dyDescent="0.25">
      <c r="A4659" t="str">
        <f>"75085194"</f>
        <v>75085194</v>
      </c>
      <c r="B4659" t="s">
        <v>4902</v>
      </c>
      <c r="C4659" t="s">
        <v>15</v>
      </c>
      <c r="D4659" t="str">
        <f t="shared" si="165"/>
        <v>577456</v>
      </c>
      <c r="E4659" t="s">
        <v>4880</v>
      </c>
      <c r="F4659" t="s">
        <v>29</v>
      </c>
    </row>
    <row r="4660" spans="1:6" x14ac:dyDescent="0.25">
      <c r="A4660" t="str">
        <f>"22746579"</f>
        <v>22746579</v>
      </c>
      <c r="B4660" t="s">
        <v>4903</v>
      </c>
      <c r="C4660" t="s">
        <v>20</v>
      </c>
      <c r="D4660" t="str">
        <f t="shared" si="165"/>
        <v>577456</v>
      </c>
      <c r="E4660" t="s">
        <v>4880</v>
      </c>
      <c r="F4660" t="s">
        <v>21</v>
      </c>
    </row>
    <row r="4661" spans="1:6" x14ac:dyDescent="0.25">
      <c r="A4661" t="str">
        <f>"45599343"</f>
        <v>45599343</v>
      </c>
      <c r="B4661" t="s">
        <v>4904</v>
      </c>
      <c r="C4661" t="s">
        <v>37</v>
      </c>
      <c r="D4661" t="str">
        <f>"577464"</f>
        <v>577464</v>
      </c>
      <c r="E4661" t="s">
        <v>4905</v>
      </c>
      <c r="F4661" t="s">
        <v>38</v>
      </c>
    </row>
    <row r="4662" spans="1:6" x14ac:dyDescent="0.25">
      <c r="A4662" t="str">
        <f>"15045960"</f>
        <v>15045960</v>
      </c>
      <c r="B4662" t="s">
        <v>4906</v>
      </c>
      <c r="C4662" t="s">
        <v>7</v>
      </c>
      <c r="D4662" t="str">
        <f>"577464"</f>
        <v>577464</v>
      </c>
      <c r="E4662" t="s">
        <v>4905</v>
      </c>
      <c r="F4662" t="s">
        <v>38</v>
      </c>
    </row>
    <row r="4663" spans="1:6" x14ac:dyDescent="0.25">
      <c r="A4663" t="str">
        <f>"08121371"</f>
        <v>08121371</v>
      </c>
      <c r="B4663" t="s">
        <v>4907</v>
      </c>
      <c r="C4663" t="s">
        <v>7</v>
      </c>
      <c r="D4663" t="str">
        <f>"577464"</f>
        <v>577464</v>
      </c>
      <c r="E4663" t="s">
        <v>4905</v>
      </c>
      <c r="F4663" t="s">
        <v>11</v>
      </c>
    </row>
    <row r="4664" spans="1:6" x14ac:dyDescent="0.25">
      <c r="A4664" t="str">
        <f>"62013998"</f>
        <v>62013998</v>
      </c>
      <c r="B4664" t="s">
        <v>4908</v>
      </c>
      <c r="C4664" t="s">
        <v>15</v>
      </c>
      <c r="D4664" t="str">
        <f>"577464"</f>
        <v>577464</v>
      </c>
      <c r="E4664" t="s">
        <v>4905</v>
      </c>
      <c r="F4664" t="s">
        <v>16</v>
      </c>
    </row>
    <row r="4665" spans="1:6" x14ac:dyDescent="0.25">
      <c r="A4665" t="str">
        <f>"45598126"</f>
        <v>45598126</v>
      </c>
      <c r="B4665" t="s">
        <v>4909</v>
      </c>
      <c r="C4665" t="s">
        <v>7</v>
      </c>
      <c r="D4665" t="str">
        <f>"577464"</f>
        <v>577464</v>
      </c>
      <c r="E4665" t="s">
        <v>4905</v>
      </c>
      <c r="F4665" t="s">
        <v>65</v>
      </c>
    </row>
    <row r="4666" spans="1:6" x14ac:dyDescent="0.25">
      <c r="A4666" t="str">
        <f>"04922484"</f>
        <v>04922484</v>
      </c>
      <c r="B4666" t="s">
        <v>4910</v>
      </c>
      <c r="C4666" t="s">
        <v>15</v>
      </c>
      <c r="D4666" t="str">
        <f t="shared" ref="D4666:D4689" si="166">"577472"</f>
        <v>577472</v>
      </c>
      <c r="E4666" t="s">
        <v>4911</v>
      </c>
      <c r="F4666" t="s">
        <v>139</v>
      </c>
    </row>
    <row r="4667" spans="1:6" x14ac:dyDescent="0.25">
      <c r="A4667" t="str">
        <f>"01475452"</f>
        <v>01475452</v>
      </c>
      <c r="B4667" t="s">
        <v>4912</v>
      </c>
      <c r="C4667" t="s">
        <v>7</v>
      </c>
      <c r="D4667" t="str">
        <f t="shared" si="166"/>
        <v>577472</v>
      </c>
      <c r="E4667" t="s">
        <v>4911</v>
      </c>
      <c r="F4667" t="s">
        <v>11</v>
      </c>
    </row>
    <row r="4668" spans="1:6" x14ac:dyDescent="0.25">
      <c r="A4668" t="str">
        <f>"06582656"</f>
        <v>06582656</v>
      </c>
      <c r="B4668" t="s">
        <v>4913</v>
      </c>
      <c r="C4668" t="s">
        <v>7</v>
      </c>
      <c r="D4668" t="str">
        <f t="shared" si="166"/>
        <v>577472</v>
      </c>
      <c r="E4668" t="s">
        <v>4911</v>
      </c>
      <c r="F4668" t="s">
        <v>11</v>
      </c>
    </row>
    <row r="4669" spans="1:6" x14ac:dyDescent="0.25">
      <c r="A4669" t="str">
        <f>"62014722"</f>
        <v>62014722</v>
      </c>
      <c r="B4669" t="s">
        <v>4914</v>
      </c>
      <c r="C4669" t="s">
        <v>15</v>
      </c>
      <c r="D4669" t="str">
        <f t="shared" si="166"/>
        <v>577472</v>
      </c>
      <c r="E4669" t="s">
        <v>4911</v>
      </c>
      <c r="F4669" t="s">
        <v>11</v>
      </c>
    </row>
    <row r="4670" spans="1:6" x14ac:dyDescent="0.25">
      <c r="A4670" t="str">
        <f>"71156208"</f>
        <v>71156208</v>
      </c>
      <c r="B4670" t="s">
        <v>4915</v>
      </c>
      <c r="C4670" t="s">
        <v>15</v>
      </c>
      <c r="D4670" t="str">
        <f t="shared" si="166"/>
        <v>577472</v>
      </c>
      <c r="E4670" t="s">
        <v>4911</v>
      </c>
      <c r="F4670" t="s">
        <v>29</v>
      </c>
    </row>
    <row r="4671" spans="1:6" x14ac:dyDescent="0.25">
      <c r="A4671" t="str">
        <f>"70155038"</f>
        <v>70155038</v>
      </c>
      <c r="B4671" t="s">
        <v>4916</v>
      </c>
      <c r="C4671" t="s">
        <v>43</v>
      </c>
      <c r="D4671" t="str">
        <f t="shared" si="166"/>
        <v>577472</v>
      </c>
      <c r="E4671" t="s">
        <v>4911</v>
      </c>
      <c r="F4671" t="s">
        <v>44</v>
      </c>
    </row>
    <row r="4672" spans="1:6" x14ac:dyDescent="0.25">
      <c r="A4672" t="str">
        <f>"70890510"</f>
        <v>70890510</v>
      </c>
      <c r="B4672" t="s">
        <v>4917</v>
      </c>
      <c r="C4672" t="s">
        <v>7</v>
      </c>
      <c r="D4672" t="str">
        <f t="shared" si="166"/>
        <v>577472</v>
      </c>
      <c r="E4672" t="s">
        <v>4911</v>
      </c>
      <c r="F4672" t="s">
        <v>11</v>
      </c>
    </row>
    <row r="4673" spans="1:6" x14ac:dyDescent="0.25">
      <c r="A4673" t="str">
        <f>"62012606"</f>
        <v>62012606</v>
      </c>
      <c r="B4673" t="s">
        <v>4918</v>
      </c>
      <c r="C4673" t="s">
        <v>43</v>
      </c>
      <c r="D4673" t="str">
        <f t="shared" si="166"/>
        <v>577472</v>
      </c>
      <c r="E4673" t="s">
        <v>4911</v>
      </c>
      <c r="F4673" t="s">
        <v>44</v>
      </c>
    </row>
    <row r="4674" spans="1:6" x14ac:dyDescent="0.25">
      <c r="A4674" t="str">
        <f>"47478144"</f>
        <v>47478144</v>
      </c>
      <c r="B4674" t="s">
        <v>4919</v>
      </c>
      <c r="C4674" t="s">
        <v>43</v>
      </c>
      <c r="D4674" t="str">
        <f t="shared" si="166"/>
        <v>577472</v>
      </c>
      <c r="E4674" t="s">
        <v>4911</v>
      </c>
      <c r="F4674" t="s">
        <v>44</v>
      </c>
    </row>
    <row r="4675" spans="1:6" x14ac:dyDescent="0.25">
      <c r="A4675" t="str">
        <f>"64812782"</f>
        <v>64812782</v>
      </c>
      <c r="B4675" t="s">
        <v>4920</v>
      </c>
      <c r="C4675" t="s">
        <v>43</v>
      </c>
      <c r="D4675" t="str">
        <f t="shared" si="166"/>
        <v>577472</v>
      </c>
      <c r="E4675" t="s">
        <v>4911</v>
      </c>
      <c r="F4675" t="s">
        <v>44</v>
      </c>
    </row>
    <row r="4676" spans="1:6" x14ac:dyDescent="0.25">
      <c r="A4676" t="str">
        <f>"49296345"</f>
        <v>49296345</v>
      </c>
      <c r="B4676" t="s">
        <v>4921</v>
      </c>
      <c r="C4676" t="s">
        <v>43</v>
      </c>
      <c r="D4676" t="str">
        <f t="shared" si="166"/>
        <v>577472</v>
      </c>
      <c r="E4676" t="s">
        <v>4911</v>
      </c>
      <c r="F4676" t="s">
        <v>44</v>
      </c>
    </row>
    <row r="4677" spans="1:6" x14ac:dyDescent="0.25">
      <c r="A4677" t="str">
        <f>"64812791"</f>
        <v>64812791</v>
      </c>
      <c r="B4677" t="s">
        <v>4922</v>
      </c>
      <c r="C4677" t="s">
        <v>43</v>
      </c>
      <c r="D4677" t="str">
        <f t="shared" si="166"/>
        <v>577472</v>
      </c>
      <c r="E4677" t="s">
        <v>4911</v>
      </c>
      <c r="F4677" t="s">
        <v>44</v>
      </c>
    </row>
    <row r="4678" spans="1:6" x14ac:dyDescent="0.25">
      <c r="A4678" t="str">
        <f>"45599378"</f>
        <v>45599378</v>
      </c>
      <c r="B4678" t="s">
        <v>4923</v>
      </c>
      <c r="C4678" t="s">
        <v>43</v>
      </c>
      <c r="D4678" t="str">
        <f t="shared" si="166"/>
        <v>577472</v>
      </c>
      <c r="E4678" t="s">
        <v>4911</v>
      </c>
      <c r="F4678" t="s">
        <v>44</v>
      </c>
    </row>
    <row r="4679" spans="1:6" x14ac:dyDescent="0.25">
      <c r="A4679" t="str">
        <f>"02042355"</f>
        <v>02042355</v>
      </c>
      <c r="B4679" t="s">
        <v>4924</v>
      </c>
      <c r="C4679" t="s">
        <v>7</v>
      </c>
      <c r="D4679" t="str">
        <f t="shared" si="166"/>
        <v>577472</v>
      </c>
      <c r="E4679" t="s">
        <v>4911</v>
      </c>
      <c r="F4679" t="s">
        <v>11</v>
      </c>
    </row>
    <row r="4680" spans="1:6" x14ac:dyDescent="0.25">
      <c r="A4680" t="str">
        <f>"70147141"</f>
        <v>70147141</v>
      </c>
      <c r="B4680" t="s">
        <v>4925</v>
      </c>
      <c r="C4680" t="s">
        <v>15</v>
      </c>
      <c r="D4680" t="str">
        <f t="shared" si="166"/>
        <v>577472</v>
      </c>
      <c r="E4680" t="s">
        <v>4911</v>
      </c>
      <c r="F4680" t="s">
        <v>16</v>
      </c>
    </row>
    <row r="4681" spans="1:6" x14ac:dyDescent="0.25">
      <c r="A4681" t="str">
        <f>"62013602"</f>
        <v>62013602</v>
      </c>
      <c r="B4681" t="s">
        <v>4926</v>
      </c>
      <c r="C4681" t="s">
        <v>15</v>
      </c>
      <c r="D4681" t="str">
        <f t="shared" si="166"/>
        <v>577472</v>
      </c>
      <c r="E4681" t="s">
        <v>4911</v>
      </c>
      <c r="F4681" t="s">
        <v>16</v>
      </c>
    </row>
    <row r="4682" spans="1:6" x14ac:dyDescent="0.25">
      <c r="A4682" t="str">
        <f>"62013688"</f>
        <v>62013688</v>
      </c>
      <c r="B4682" t="s">
        <v>4927</v>
      </c>
      <c r="C4682" t="s">
        <v>15</v>
      </c>
      <c r="D4682" t="str">
        <f t="shared" si="166"/>
        <v>577472</v>
      </c>
      <c r="E4682" t="s">
        <v>4911</v>
      </c>
      <c r="F4682" t="s">
        <v>16</v>
      </c>
    </row>
    <row r="4683" spans="1:6" x14ac:dyDescent="0.25">
      <c r="A4683" t="str">
        <f>"49294903"</f>
        <v>49294903</v>
      </c>
      <c r="B4683" t="s">
        <v>4928</v>
      </c>
      <c r="C4683" t="s">
        <v>7</v>
      </c>
      <c r="D4683" t="str">
        <f t="shared" si="166"/>
        <v>577472</v>
      </c>
      <c r="E4683" t="s">
        <v>4911</v>
      </c>
      <c r="F4683" t="s">
        <v>328</v>
      </c>
    </row>
    <row r="4684" spans="1:6" x14ac:dyDescent="0.25">
      <c r="A4684" t="str">
        <f>"22767002"</f>
        <v>22767002</v>
      </c>
      <c r="B4684" t="s">
        <v>4929</v>
      </c>
      <c r="C4684" t="s">
        <v>78</v>
      </c>
      <c r="D4684" t="str">
        <f t="shared" si="166"/>
        <v>577472</v>
      </c>
      <c r="E4684" t="s">
        <v>4911</v>
      </c>
      <c r="F4684" t="s">
        <v>35</v>
      </c>
    </row>
    <row r="4685" spans="1:6" x14ac:dyDescent="0.25">
      <c r="A4685" t="str">
        <f>"62014692"</f>
        <v>62014692</v>
      </c>
      <c r="B4685" t="s">
        <v>4930</v>
      </c>
      <c r="C4685" t="s">
        <v>15</v>
      </c>
      <c r="D4685" t="str">
        <f t="shared" si="166"/>
        <v>577472</v>
      </c>
      <c r="E4685" t="s">
        <v>4911</v>
      </c>
      <c r="F4685" t="s">
        <v>137</v>
      </c>
    </row>
    <row r="4686" spans="1:6" x14ac:dyDescent="0.25">
      <c r="A4686" t="str">
        <f>"15045161"</f>
        <v>15045161</v>
      </c>
      <c r="B4686" t="s">
        <v>4931</v>
      </c>
      <c r="C4686" t="s">
        <v>7</v>
      </c>
      <c r="D4686" t="str">
        <f t="shared" si="166"/>
        <v>577472</v>
      </c>
      <c r="E4686" t="s">
        <v>4911</v>
      </c>
      <c r="F4686" t="s">
        <v>65</v>
      </c>
    </row>
    <row r="4687" spans="1:6" x14ac:dyDescent="0.25">
      <c r="A4687" t="str">
        <f>"68211503"</f>
        <v>68211503</v>
      </c>
      <c r="B4687" t="s">
        <v>4932</v>
      </c>
      <c r="C4687" t="s">
        <v>726</v>
      </c>
      <c r="D4687" t="str">
        <f t="shared" si="166"/>
        <v>577472</v>
      </c>
      <c r="E4687" t="s">
        <v>4911</v>
      </c>
      <c r="F4687" t="s">
        <v>389</v>
      </c>
    </row>
    <row r="4688" spans="1:6" x14ac:dyDescent="0.25">
      <c r="A4688" t="str">
        <f>"14442108"</f>
        <v>14442108</v>
      </c>
      <c r="B4688" t="s">
        <v>4933</v>
      </c>
      <c r="C4688" t="s">
        <v>7</v>
      </c>
      <c r="D4688" t="str">
        <f t="shared" si="166"/>
        <v>577472</v>
      </c>
      <c r="E4688" t="s">
        <v>4911</v>
      </c>
      <c r="F4688" t="s">
        <v>11</v>
      </c>
    </row>
    <row r="4689" spans="1:6" x14ac:dyDescent="0.25">
      <c r="A4689" t="str">
        <f>"05823251"</f>
        <v>05823251</v>
      </c>
      <c r="B4689" t="s">
        <v>4934</v>
      </c>
      <c r="C4689" t="s">
        <v>20</v>
      </c>
      <c r="D4689" t="str">
        <f t="shared" si="166"/>
        <v>577472</v>
      </c>
      <c r="E4689" t="s">
        <v>4911</v>
      </c>
      <c r="F4689" t="s">
        <v>21</v>
      </c>
    </row>
    <row r="4690" spans="1:6" x14ac:dyDescent="0.25">
      <c r="A4690" t="str">
        <f>"71182497"</f>
        <v>71182497</v>
      </c>
      <c r="B4690" t="s">
        <v>4935</v>
      </c>
      <c r="C4690" t="s">
        <v>15</v>
      </c>
      <c r="D4690" t="str">
        <f>"577499"</f>
        <v>577499</v>
      </c>
      <c r="E4690" t="s">
        <v>4936</v>
      </c>
      <c r="F4690" t="s">
        <v>29</v>
      </c>
    </row>
    <row r="4691" spans="1:6" x14ac:dyDescent="0.25">
      <c r="A4691" t="str">
        <f>"49294334"</f>
        <v>49294334</v>
      </c>
      <c r="B4691" t="s">
        <v>4937</v>
      </c>
      <c r="C4691" t="s">
        <v>37</v>
      </c>
      <c r="D4691" t="str">
        <f>"577499"</f>
        <v>577499</v>
      </c>
      <c r="E4691" t="s">
        <v>4936</v>
      </c>
      <c r="F4691" t="s">
        <v>38</v>
      </c>
    </row>
    <row r="4692" spans="1:6" x14ac:dyDescent="0.25">
      <c r="A4692" t="str">
        <f>"62013335"</f>
        <v>62013335</v>
      </c>
      <c r="B4692" t="s">
        <v>4938</v>
      </c>
      <c r="C4692" t="s">
        <v>15</v>
      </c>
      <c r="D4692" t="str">
        <f>"577499"</f>
        <v>577499</v>
      </c>
      <c r="E4692" t="s">
        <v>4936</v>
      </c>
      <c r="F4692" t="s">
        <v>16</v>
      </c>
    </row>
    <row r="4693" spans="1:6" x14ac:dyDescent="0.25">
      <c r="A4693" t="str">
        <f>"15043169"</f>
        <v>15043169</v>
      </c>
      <c r="B4693" t="s">
        <v>4939</v>
      </c>
      <c r="C4693" t="s">
        <v>7</v>
      </c>
      <c r="D4693" t="str">
        <f>"577499"</f>
        <v>577499</v>
      </c>
      <c r="E4693" t="s">
        <v>4936</v>
      </c>
      <c r="F4693" t="s">
        <v>65</v>
      </c>
    </row>
    <row r="4694" spans="1:6" x14ac:dyDescent="0.25">
      <c r="A4694" t="str">
        <f>"45599068"</f>
        <v>45599068</v>
      </c>
      <c r="B4694" t="s">
        <v>4940</v>
      </c>
      <c r="C4694" t="s">
        <v>37</v>
      </c>
      <c r="D4694" t="str">
        <f>"577481"</f>
        <v>577481</v>
      </c>
      <c r="E4694" t="s">
        <v>4941</v>
      </c>
      <c r="F4694" t="s">
        <v>38</v>
      </c>
    </row>
    <row r="4695" spans="1:6" x14ac:dyDescent="0.25">
      <c r="A4695" t="str">
        <f>"72023953"</f>
        <v>72023953</v>
      </c>
      <c r="B4695" t="s">
        <v>4942</v>
      </c>
      <c r="C4695" t="s">
        <v>7</v>
      </c>
      <c r="D4695" t="str">
        <f>"577481"</f>
        <v>577481</v>
      </c>
      <c r="E4695" t="s">
        <v>4941</v>
      </c>
      <c r="F4695" t="s">
        <v>38</v>
      </c>
    </row>
    <row r="4696" spans="1:6" x14ac:dyDescent="0.25">
      <c r="A4696" t="str">
        <f>"62013971"</f>
        <v>62013971</v>
      </c>
      <c r="B4696" t="s">
        <v>4943</v>
      </c>
      <c r="C4696" t="s">
        <v>15</v>
      </c>
      <c r="D4696" t="str">
        <f>"577481"</f>
        <v>577481</v>
      </c>
      <c r="E4696" t="s">
        <v>4941</v>
      </c>
      <c r="F4696" t="s">
        <v>16</v>
      </c>
    </row>
    <row r="4697" spans="1:6" x14ac:dyDescent="0.25">
      <c r="A4697" t="str">
        <f>"03818594"</f>
        <v>03818594</v>
      </c>
      <c r="B4697" t="s">
        <v>4944</v>
      </c>
      <c r="C4697" t="s">
        <v>7</v>
      </c>
      <c r="D4697" t="str">
        <f t="shared" ref="D4697:D4724" si="167">"563790"</f>
        <v>563790</v>
      </c>
      <c r="E4697" t="s">
        <v>4945</v>
      </c>
      <c r="F4697" t="s">
        <v>2392</v>
      </c>
    </row>
    <row r="4698" spans="1:6" x14ac:dyDescent="0.25">
      <c r="A4698" t="str">
        <f>"02488027"</f>
        <v>02488027</v>
      </c>
      <c r="B4698" t="s">
        <v>4946</v>
      </c>
      <c r="C4698" t="s">
        <v>78</v>
      </c>
      <c r="D4698" t="str">
        <f t="shared" si="167"/>
        <v>563790</v>
      </c>
      <c r="E4698" t="s">
        <v>4945</v>
      </c>
      <c r="F4698" t="s">
        <v>11</v>
      </c>
    </row>
    <row r="4699" spans="1:6" x14ac:dyDescent="0.25">
      <c r="A4699" t="str">
        <f>"72059397"</f>
        <v>72059397</v>
      </c>
      <c r="B4699" t="s">
        <v>4947</v>
      </c>
      <c r="C4699" t="s">
        <v>15</v>
      </c>
      <c r="D4699" t="str">
        <f t="shared" si="167"/>
        <v>563790</v>
      </c>
      <c r="E4699" t="s">
        <v>4945</v>
      </c>
      <c r="F4699" t="s">
        <v>29</v>
      </c>
    </row>
    <row r="4700" spans="1:6" x14ac:dyDescent="0.25">
      <c r="A4700" t="str">
        <f>"01308840"</f>
        <v>01308840</v>
      </c>
      <c r="B4700" t="s">
        <v>4948</v>
      </c>
      <c r="C4700" t="s">
        <v>7</v>
      </c>
      <c r="D4700" t="str">
        <f t="shared" si="167"/>
        <v>563790</v>
      </c>
      <c r="E4700" t="s">
        <v>4945</v>
      </c>
      <c r="F4700" t="s">
        <v>29</v>
      </c>
    </row>
    <row r="4701" spans="1:6" x14ac:dyDescent="0.25">
      <c r="A4701" t="str">
        <f>"09657347"</f>
        <v>09657347</v>
      </c>
      <c r="B4701" t="s">
        <v>4949</v>
      </c>
      <c r="C4701" t="s">
        <v>7</v>
      </c>
      <c r="D4701" t="str">
        <f t="shared" si="167"/>
        <v>563790</v>
      </c>
      <c r="E4701" t="s">
        <v>4945</v>
      </c>
      <c r="F4701" t="s">
        <v>11</v>
      </c>
    </row>
    <row r="4702" spans="1:6" x14ac:dyDescent="0.25">
      <c r="A4702" t="str">
        <f>"04545401"</f>
        <v>04545401</v>
      </c>
      <c r="B4702" t="s">
        <v>4950</v>
      </c>
      <c r="C4702" t="s">
        <v>27</v>
      </c>
      <c r="D4702" t="str">
        <f t="shared" si="167"/>
        <v>563790</v>
      </c>
      <c r="E4702" t="s">
        <v>4945</v>
      </c>
      <c r="F4702" t="s">
        <v>865</v>
      </c>
    </row>
    <row r="4703" spans="1:6" x14ac:dyDescent="0.25">
      <c r="A4703" t="str">
        <f>"16389565"</f>
        <v>16389565</v>
      </c>
      <c r="B4703" t="s">
        <v>4951</v>
      </c>
      <c r="C4703" t="s">
        <v>124</v>
      </c>
      <c r="D4703" t="str">
        <f t="shared" si="167"/>
        <v>563790</v>
      </c>
      <c r="E4703" t="s">
        <v>4945</v>
      </c>
      <c r="F4703" t="s">
        <v>379</v>
      </c>
    </row>
    <row r="4704" spans="1:6" x14ac:dyDescent="0.25">
      <c r="A4704" t="str">
        <f>"07351747"</f>
        <v>07351747</v>
      </c>
      <c r="B4704" t="s">
        <v>4952</v>
      </c>
      <c r="C4704" t="s">
        <v>7</v>
      </c>
      <c r="D4704" t="str">
        <f t="shared" si="167"/>
        <v>563790</v>
      </c>
      <c r="E4704" t="s">
        <v>4945</v>
      </c>
      <c r="F4704" t="s">
        <v>11</v>
      </c>
    </row>
    <row r="4705" spans="1:6" x14ac:dyDescent="0.25">
      <c r="A4705" t="str">
        <f>"43257321"</f>
        <v>43257321</v>
      </c>
      <c r="B4705" t="s">
        <v>4953</v>
      </c>
      <c r="C4705" t="s">
        <v>7</v>
      </c>
      <c r="D4705" t="str">
        <f t="shared" si="167"/>
        <v>563790</v>
      </c>
      <c r="E4705" t="s">
        <v>4945</v>
      </c>
      <c r="F4705" t="s">
        <v>38</v>
      </c>
    </row>
    <row r="4706" spans="1:6" x14ac:dyDescent="0.25">
      <c r="A4706" t="str">
        <f>"64669521"</f>
        <v>64669521</v>
      </c>
      <c r="B4706" t="s">
        <v>4954</v>
      </c>
      <c r="C4706" t="s">
        <v>7</v>
      </c>
      <c r="D4706" t="str">
        <f t="shared" si="167"/>
        <v>563790</v>
      </c>
      <c r="E4706" t="s">
        <v>4945</v>
      </c>
      <c r="F4706" t="s">
        <v>38</v>
      </c>
    </row>
    <row r="4707" spans="1:6" x14ac:dyDescent="0.25">
      <c r="A4707" t="str">
        <f>"22690018"</f>
        <v>22690018</v>
      </c>
      <c r="B4707" t="s">
        <v>4955</v>
      </c>
      <c r="C4707" t="s">
        <v>7</v>
      </c>
      <c r="D4707" t="str">
        <f t="shared" si="167"/>
        <v>563790</v>
      </c>
      <c r="E4707" t="s">
        <v>4945</v>
      </c>
      <c r="F4707" t="s">
        <v>11</v>
      </c>
    </row>
    <row r="4708" spans="1:6" x14ac:dyDescent="0.25">
      <c r="A4708" t="str">
        <f>"26620031"</f>
        <v>26620031</v>
      </c>
      <c r="B4708" t="s">
        <v>4956</v>
      </c>
      <c r="C4708" t="s">
        <v>7</v>
      </c>
      <c r="D4708" t="str">
        <f t="shared" si="167"/>
        <v>563790</v>
      </c>
      <c r="E4708" t="s">
        <v>4945</v>
      </c>
      <c r="F4708" t="s">
        <v>11</v>
      </c>
    </row>
    <row r="4709" spans="1:6" x14ac:dyDescent="0.25">
      <c r="A4709" t="str">
        <f>"27000796"</f>
        <v>27000796</v>
      </c>
      <c r="B4709" t="s">
        <v>4957</v>
      </c>
      <c r="C4709" t="s">
        <v>7</v>
      </c>
      <c r="D4709" t="str">
        <f t="shared" si="167"/>
        <v>563790</v>
      </c>
      <c r="E4709" t="s">
        <v>4945</v>
      </c>
      <c r="F4709" t="s">
        <v>11</v>
      </c>
    </row>
    <row r="4710" spans="1:6" x14ac:dyDescent="0.25">
      <c r="A4710" t="str">
        <f>"69387761"</f>
        <v>69387761</v>
      </c>
      <c r="B4710" t="s">
        <v>4958</v>
      </c>
      <c r="C4710" t="s">
        <v>7</v>
      </c>
      <c r="D4710" t="str">
        <f t="shared" si="167"/>
        <v>563790</v>
      </c>
      <c r="E4710" t="s">
        <v>4945</v>
      </c>
      <c r="F4710" t="s">
        <v>11</v>
      </c>
    </row>
    <row r="4711" spans="1:6" x14ac:dyDescent="0.25">
      <c r="A4711" t="str">
        <f>"04307267"</f>
        <v>04307267</v>
      </c>
      <c r="B4711" t="s">
        <v>4959</v>
      </c>
      <c r="C4711" t="s">
        <v>7</v>
      </c>
      <c r="D4711" t="str">
        <f t="shared" si="167"/>
        <v>563790</v>
      </c>
      <c r="E4711" t="s">
        <v>4945</v>
      </c>
      <c r="F4711" t="s">
        <v>11</v>
      </c>
    </row>
    <row r="4712" spans="1:6" x14ac:dyDescent="0.25">
      <c r="A4712" t="str">
        <f>"22746609"</f>
        <v>22746609</v>
      </c>
      <c r="B4712" t="s">
        <v>4960</v>
      </c>
      <c r="C4712" t="s">
        <v>7</v>
      </c>
      <c r="D4712" t="str">
        <f t="shared" si="167"/>
        <v>563790</v>
      </c>
      <c r="E4712" t="s">
        <v>4945</v>
      </c>
      <c r="F4712" t="s">
        <v>11</v>
      </c>
    </row>
    <row r="4713" spans="1:6" x14ac:dyDescent="0.25">
      <c r="A4713" t="str">
        <f>"05677670"</f>
        <v>05677670</v>
      </c>
      <c r="B4713" t="s">
        <v>4961</v>
      </c>
      <c r="C4713" t="s">
        <v>7</v>
      </c>
      <c r="D4713" t="str">
        <f t="shared" si="167"/>
        <v>563790</v>
      </c>
      <c r="E4713" t="s">
        <v>4945</v>
      </c>
      <c r="F4713" t="s">
        <v>18</v>
      </c>
    </row>
    <row r="4714" spans="1:6" x14ac:dyDescent="0.25">
      <c r="A4714" t="str">
        <f>"06036368"</f>
        <v>06036368</v>
      </c>
      <c r="B4714" t="s">
        <v>4962</v>
      </c>
      <c r="C4714" t="s">
        <v>15</v>
      </c>
      <c r="D4714" t="str">
        <f t="shared" si="167"/>
        <v>563790</v>
      </c>
      <c r="E4714" t="s">
        <v>4945</v>
      </c>
      <c r="F4714" t="s">
        <v>29</v>
      </c>
    </row>
    <row r="4715" spans="1:6" x14ac:dyDescent="0.25">
      <c r="A4715" t="str">
        <f>"64668215"</f>
        <v>64668215</v>
      </c>
      <c r="B4715" t="s">
        <v>4963</v>
      </c>
      <c r="C4715" t="s">
        <v>15</v>
      </c>
      <c r="D4715" t="str">
        <f t="shared" si="167"/>
        <v>563790</v>
      </c>
      <c r="E4715" t="s">
        <v>4945</v>
      </c>
      <c r="F4715" t="s">
        <v>16</v>
      </c>
    </row>
    <row r="4716" spans="1:6" x14ac:dyDescent="0.25">
      <c r="A4716" t="str">
        <f>"16390121"</f>
        <v>16390121</v>
      </c>
      <c r="B4716" t="s">
        <v>4964</v>
      </c>
      <c r="C4716" t="s">
        <v>7</v>
      </c>
      <c r="D4716" t="str">
        <f t="shared" si="167"/>
        <v>563790</v>
      </c>
      <c r="E4716" t="s">
        <v>4945</v>
      </c>
      <c r="F4716" t="s">
        <v>9</v>
      </c>
    </row>
    <row r="4717" spans="1:6" x14ac:dyDescent="0.25">
      <c r="A4717" t="str">
        <f>"04771206"</f>
        <v>04771206</v>
      </c>
      <c r="B4717" t="s">
        <v>4965</v>
      </c>
      <c r="C4717" t="s">
        <v>7</v>
      </c>
      <c r="D4717" t="str">
        <f t="shared" si="167"/>
        <v>563790</v>
      </c>
      <c r="E4717" t="s">
        <v>4945</v>
      </c>
      <c r="F4717" t="s">
        <v>865</v>
      </c>
    </row>
    <row r="4718" spans="1:6" x14ac:dyDescent="0.25">
      <c r="A4718" t="str">
        <f>"02182343"</f>
        <v>02182343</v>
      </c>
      <c r="B4718" t="s">
        <v>4966</v>
      </c>
      <c r="C4718" t="s">
        <v>7</v>
      </c>
      <c r="D4718" t="str">
        <f t="shared" si="167"/>
        <v>563790</v>
      </c>
      <c r="E4718" t="s">
        <v>4945</v>
      </c>
      <c r="F4718" t="s">
        <v>11</v>
      </c>
    </row>
    <row r="4719" spans="1:6" x14ac:dyDescent="0.25">
      <c r="A4719" t="str">
        <f>"22768637"</f>
        <v>22768637</v>
      </c>
      <c r="B4719" t="s">
        <v>4967</v>
      </c>
      <c r="C4719" t="s">
        <v>7</v>
      </c>
      <c r="D4719" t="str">
        <f t="shared" si="167"/>
        <v>563790</v>
      </c>
      <c r="E4719" t="s">
        <v>4945</v>
      </c>
      <c r="F4719" t="s">
        <v>328</v>
      </c>
    </row>
    <row r="4720" spans="1:6" x14ac:dyDescent="0.25">
      <c r="A4720" t="str">
        <f>"05205778"</f>
        <v>05205778</v>
      </c>
      <c r="B4720" t="s">
        <v>4968</v>
      </c>
      <c r="C4720" t="s">
        <v>7</v>
      </c>
      <c r="D4720" t="str">
        <f t="shared" si="167"/>
        <v>563790</v>
      </c>
      <c r="E4720" t="s">
        <v>4945</v>
      </c>
      <c r="F4720" t="s">
        <v>11</v>
      </c>
    </row>
    <row r="4721" spans="1:6" x14ac:dyDescent="0.25">
      <c r="A4721" t="str">
        <f>"00433543"</f>
        <v>00433543</v>
      </c>
      <c r="B4721" t="s">
        <v>4969</v>
      </c>
      <c r="C4721" t="s">
        <v>15</v>
      </c>
      <c r="D4721" t="str">
        <f t="shared" si="167"/>
        <v>563790</v>
      </c>
      <c r="E4721" t="s">
        <v>4945</v>
      </c>
      <c r="F4721" t="s">
        <v>29</v>
      </c>
    </row>
    <row r="4722" spans="1:6" x14ac:dyDescent="0.25">
      <c r="A4722" t="str">
        <f>"26667886"</f>
        <v>26667886</v>
      </c>
      <c r="B4722" t="s">
        <v>4970</v>
      </c>
      <c r="C4722" t="s">
        <v>7</v>
      </c>
      <c r="D4722" t="str">
        <f t="shared" si="167"/>
        <v>563790</v>
      </c>
      <c r="E4722" t="s">
        <v>4945</v>
      </c>
      <c r="F4722" t="s">
        <v>11</v>
      </c>
    </row>
    <row r="4723" spans="1:6" x14ac:dyDescent="0.25">
      <c r="A4723" t="str">
        <f>"75096129"</f>
        <v>75096129</v>
      </c>
      <c r="B4723" t="s">
        <v>4971</v>
      </c>
      <c r="C4723" t="s">
        <v>15</v>
      </c>
      <c r="D4723" t="str">
        <f t="shared" si="167"/>
        <v>563790</v>
      </c>
      <c r="E4723" t="s">
        <v>4945</v>
      </c>
      <c r="F4723" t="s">
        <v>29</v>
      </c>
    </row>
    <row r="4724" spans="1:6" x14ac:dyDescent="0.25">
      <c r="A4724" t="str">
        <f>"60253185"</f>
        <v>60253185</v>
      </c>
      <c r="B4724" t="s">
        <v>4972</v>
      </c>
      <c r="C4724" t="s">
        <v>20</v>
      </c>
      <c r="D4724" t="str">
        <f t="shared" si="167"/>
        <v>563790</v>
      </c>
      <c r="E4724" t="s">
        <v>4945</v>
      </c>
      <c r="F4724" t="s">
        <v>21</v>
      </c>
    </row>
    <row r="4725" spans="1:6" x14ac:dyDescent="0.25">
      <c r="A4725" t="str">
        <f>"09948503"</f>
        <v>09948503</v>
      </c>
      <c r="B4725" t="s">
        <v>4973</v>
      </c>
      <c r="C4725" t="s">
        <v>7</v>
      </c>
      <c r="D4725" t="str">
        <f t="shared" ref="D4725:D4742" si="168">"564397"</f>
        <v>564397</v>
      </c>
      <c r="E4725" t="s">
        <v>4974</v>
      </c>
      <c r="F4725" t="s">
        <v>13</v>
      </c>
    </row>
    <row r="4726" spans="1:6" x14ac:dyDescent="0.25">
      <c r="A4726" t="str">
        <f>"01897616"</f>
        <v>01897616</v>
      </c>
      <c r="B4726" t="s">
        <v>4975</v>
      </c>
      <c r="C4726" t="s">
        <v>7</v>
      </c>
      <c r="D4726" t="str">
        <f t="shared" si="168"/>
        <v>564397</v>
      </c>
      <c r="E4726" t="s">
        <v>4974</v>
      </c>
      <c r="F4726" t="s">
        <v>29</v>
      </c>
    </row>
    <row r="4727" spans="1:6" x14ac:dyDescent="0.25">
      <c r="A4727" t="str">
        <f>"22606769"</f>
        <v>22606769</v>
      </c>
      <c r="B4727" t="s">
        <v>4976</v>
      </c>
      <c r="C4727" t="s">
        <v>7</v>
      </c>
      <c r="D4727" t="str">
        <f t="shared" si="168"/>
        <v>564397</v>
      </c>
      <c r="E4727" t="s">
        <v>4974</v>
      </c>
      <c r="F4727" t="s">
        <v>62</v>
      </c>
    </row>
    <row r="4728" spans="1:6" x14ac:dyDescent="0.25">
      <c r="A4728" t="str">
        <f>"46744827"</f>
        <v>46744827</v>
      </c>
      <c r="B4728" t="s">
        <v>4977</v>
      </c>
      <c r="C4728" t="s">
        <v>7</v>
      </c>
      <c r="D4728" t="str">
        <f t="shared" si="168"/>
        <v>564397</v>
      </c>
      <c r="E4728" t="s">
        <v>4974</v>
      </c>
      <c r="F4728" t="s">
        <v>9</v>
      </c>
    </row>
    <row r="4729" spans="1:6" x14ac:dyDescent="0.25">
      <c r="A4729" t="str">
        <f>"71166441"</f>
        <v>71166441</v>
      </c>
      <c r="B4729" t="s">
        <v>4978</v>
      </c>
      <c r="C4729" t="s">
        <v>37</v>
      </c>
      <c r="D4729" t="str">
        <f t="shared" si="168"/>
        <v>564397</v>
      </c>
      <c r="E4729" t="s">
        <v>4974</v>
      </c>
      <c r="F4729" t="s">
        <v>38</v>
      </c>
    </row>
    <row r="4730" spans="1:6" x14ac:dyDescent="0.25">
      <c r="A4730" t="str">
        <f>"22755381"</f>
        <v>22755381</v>
      </c>
      <c r="B4730" t="s">
        <v>4979</v>
      </c>
      <c r="C4730" t="s">
        <v>7</v>
      </c>
      <c r="D4730" t="str">
        <f t="shared" si="168"/>
        <v>564397</v>
      </c>
      <c r="E4730" t="s">
        <v>4974</v>
      </c>
      <c r="F4730" t="s">
        <v>18</v>
      </c>
    </row>
    <row r="4731" spans="1:6" x14ac:dyDescent="0.25">
      <c r="A4731" t="str">
        <f>"22662715"</f>
        <v>22662715</v>
      </c>
      <c r="B4731" t="s">
        <v>4980</v>
      </c>
      <c r="C4731" t="s">
        <v>7</v>
      </c>
      <c r="D4731" t="str">
        <f t="shared" si="168"/>
        <v>564397</v>
      </c>
      <c r="E4731" t="s">
        <v>4974</v>
      </c>
      <c r="F4731" t="s">
        <v>11</v>
      </c>
    </row>
    <row r="4732" spans="1:6" x14ac:dyDescent="0.25">
      <c r="A4732" t="str">
        <f>"71158804"</f>
        <v>71158804</v>
      </c>
      <c r="B4732" t="s">
        <v>4981</v>
      </c>
      <c r="C4732" t="s">
        <v>7</v>
      </c>
      <c r="D4732" t="str">
        <f t="shared" si="168"/>
        <v>564397</v>
      </c>
      <c r="E4732" t="s">
        <v>4974</v>
      </c>
      <c r="F4732" t="s">
        <v>38</v>
      </c>
    </row>
    <row r="4733" spans="1:6" x14ac:dyDescent="0.25">
      <c r="A4733" t="str">
        <f>"70806276"</f>
        <v>70806276</v>
      </c>
      <c r="B4733" t="s">
        <v>4982</v>
      </c>
      <c r="C4733" t="s">
        <v>7</v>
      </c>
      <c r="D4733" t="str">
        <f t="shared" si="168"/>
        <v>564397</v>
      </c>
      <c r="E4733" t="s">
        <v>4974</v>
      </c>
      <c r="F4733" t="s">
        <v>38</v>
      </c>
    </row>
    <row r="4734" spans="1:6" x14ac:dyDescent="0.25">
      <c r="A4734" t="str">
        <f>"46745238"</f>
        <v>46745238</v>
      </c>
      <c r="B4734" t="s">
        <v>4983</v>
      </c>
      <c r="C4734" t="s">
        <v>7</v>
      </c>
      <c r="D4734" t="str">
        <f t="shared" si="168"/>
        <v>564397</v>
      </c>
      <c r="E4734" t="s">
        <v>4974</v>
      </c>
      <c r="F4734" t="s">
        <v>38</v>
      </c>
    </row>
    <row r="4735" spans="1:6" x14ac:dyDescent="0.25">
      <c r="A4735" t="str">
        <f>"27058476"</f>
        <v>27058476</v>
      </c>
      <c r="B4735" t="s">
        <v>4984</v>
      </c>
      <c r="C4735" t="s">
        <v>7</v>
      </c>
      <c r="D4735" t="str">
        <f t="shared" si="168"/>
        <v>564397</v>
      </c>
      <c r="E4735" t="s">
        <v>4974</v>
      </c>
      <c r="F4735" t="s">
        <v>424</v>
      </c>
    </row>
    <row r="4736" spans="1:6" x14ac:dyDescent="0.25">
      <c r="A4736" t="str">
        <f>"14320673"</f>
        <v>14320673</v>
      </c>
      <c r="B4736" t="s">
        <v>4985</v>
      </c>
      <c r="C4736" t="s">
        <v>7</v>
      </c>
      <c r="D4736" t="str">
        <f t="shared" si="168"/>
        <v>564397</v>
      </c>
      <c r="E4736" t="s">
        <v>4974</v>
      </c>
      <c r="F4736" t="s">
        <v>1096</v>
      </c>
    </row>
    <row r="4737" spans="1:6" x14ac:dyDescent="0.25">
      <c r="A4737" t="str">
        <f>"46749179"</f>
        <v>46749179</v>
      </c>
      <c r="B4737" t="s">
        <v>4986</v>
      </c>
      <c r="C4737" t="s">
        <v>43</v>
      </c>
      <c r="D4737" t="str">
        <f t="shared" si="168"/>
        <v>564397</v>
      </c>
      <c r="E4737" t="s">
        <v>4974</v>
      </c>
      <c r="F4737" t="s">
        <v>44</v>
      </c>
    </row>
    <row r="4738" spans="1:6" x14ac:dyDescent="0.25">
      <c r="A4738" t="str">
        <f>"22868011"</f>
        <v>22868011</v>
      </c>
      <c r="B4738" t="s">
        <v>4987</v>
      </c>
      <c r="C4738" t="s">
        <v>7</v>
      </c>
      <c r="D4738" t="str">
        <f t="shared" si="168"/>
        <v>564397</v>
      </c>
      <c r="E4738" t="s">
        <v>4974</v>
      </c>
      <c r="F4738" t="s">
        <v>13</v>
      </c>
    </row>
    <row r="4739" spans="1:6" x14ac:dyDescent="0.25">
      <c r="A4739" t="str">
        <f>"26597284"</f>
        <v>26597284</v>
      </c>
      <c r="B4739" t="s">
        <v>4988</v>
      </c>
      <c r="C4739" t="s">
        <v>7</v>
      </c>
      <c r="D4739" t="str">
        <f t="shared" si="168"/>
        <v>564397</v>
      </c>
      <c r="E4739" t="s">
        <v>4974</v>
      </c>
      <c r="F4739" t="s">
        <v>11</v>
      </c>
    </row>
    <row r="4740" spans="1:6" x14ac:dyDescent="0.25">
      <c r="A4740" t="str">
        <f>"64039218"</f>
        <v>64039218</v>
      </c>
      <c r="B4740" t="s">
        <v>4989</v>
      </c>
      <c r="C4740" t="s">
        <v>15</v>
      </c>
      <c r="D4740" t="str">
        <f t="shared" si="168"/>
        <v>564397</v>
      </c>
      <c r="E4740" t="s">
        <v>4974</v>
      </c>
      <c r="F4740" t="s">
        <v>16</v>
      </c>
    </row>
    <row r="4741" spans="1:6" x14ac:dyDescent="0.25">
      <c r="A4741" t="str">
        <f>"03933750"</f>
        <v>03933750</v>
      </c>
      <c r="B4741" t="s">
        <v>4990</v>
      </c>
      <c r="C4741" t="s">
        <v>15</v>
      </c>
      <c r="D4741" t="str">
        <f t="shared" si="168"/>
        <v>564397</v>
      </c>
      <c r="E4741" t="s">
        <v>4974</v>
      </c>
      <c r="F4741" t="s">
        <v>16</v>
      </c>
    </row>
    <row r="4742" spans="1:6" x14ac:dyDescent="0.25">
      <c r="A4742" t="str">
        <f>"22831657"</f>
        <v>22831657</v>
      </c>
      <c r="B4742" t="s">
        <v>4991</v>
      </c>
      <c r="C4742" t="s">
        <v>7</v>
      </c>
      <c r="D4742" t="str">
        <f t="shared" si="168"/>
        <v>564397</v>
      </c>
      <c r="E4742" t="s">
        <v>4974</v>
      </c>
      <c r="F4742" t="s">
        <v>11</v>
      </c>
    </row>
    <row r="4743" spans="1:6" x14ac:dyDescent="0.25">
      <c r="A4743" t="str">
        <f>"22661859"</f>
        <v>22661859</v>
      </c>
      <c r="B4743" t="s">
        <v>4992</v>
      </c>
      <c r="C4743" t="s">
        <v>7</v>
      </c>
      <c r="D4743" t="str">
        <f t="shared" ref="D4743:D4757" si="169">"563781"</f>
        <v>563781</v>
      </c>
      <c r="E4743" t="s">
        <v>4993</v>
      </c>
      <c r="F4743" t="s">
        <v>11</v>
      </c>
    </row>
    <row r="4744" spans="1:6" x14ac:dyDescent="0.25">
      <c r="A4744" t="str">
        <f>"75106990"</f>
        <v>75106990</v>
      </c>
      <c r="B4744" t="s">
        <v>4994</v>
      </c>
      <c r="C4744" t="s">
        <v>15</v>
      </c>
      <c r="D4744" t="str">
        <f t="shared" si="169"/>
        <v>563781</v>
      </c>
      <c r="E4744" t="s">
        <v>4993</v>
      </c>
      <c r="F4744" t="s">
        <v>29</v>
      </c>
    </row>
    <row r="4745" spans="1:6" x14ac:dyDescent="0.25">
      <c r="A4745" t="str">
        <f>"06152236"</f>
        <v>06152236</v>
      </c>
      <c r="B4745" t="s">
        <v>4995</v>
      </c>
      <c r="C4745" t="s">
        <v>15</v>
      </c>
      <c r="D4745" t="str">
        <f t="shared" si="169"/>
        <v>563781</v>
      </c>
      <c r="E4745" t="s">
        <v>4993</v>
      </c>
      <c r="F4745" t="s">
        <v>62</v>
      </c>
    </row>
    <row r="4746" spans="1:6" x14ac:dyDescent="0.25">
      <c r="A4746" t="str">
        <f>"21118621"</f>
        <v>21118621</v>
      </c>
      <c r="B4746" t="s">
        <v>4996</v>
      </c>
      <c r="C4746" t="s">
        <v>7</v>
      </c>
      <c r="D4746" t="str">
        <f t="shared" si="169"/>
        <v>563781</v>
      </c>
      <c r="E4746" t="s">
        <v>4993</v>
      </c>
      <c r="F4746" t="s">
        <v>62</v>
      </c>
    </row>
    <row r="4747" spans="1:6" x14ac:dyDescent="0.25">
      <c r="A4747" t="str">
        <f>"07624531"</f>
        <v>07624531</v>
      </c>
      <c r="B4747" t="s">
        <v>4997</v>
      </c>
      <c r="C4747" t="s">
        <v>7</v>
      </c>
      <c r="D4747" t="str">
        <f t="shared" si="169"/>
        <v>563781</v>
      </c>
      <c r="E4747" t="s">
        <v>4993</v>
      </c>
      <c r="F4747" t="s">
        <v>62</v>
      </c>
    </row>
    <row r="4748" spans="1:6" x14ac:dyDescent="0.25">
      <c r="A4748" t="str">
        <f>"26652382"</f>
        <v>26652382</v>
      </c>
      <c r="B4748" t="s">
        <v>4998</v>
      </c>
      <c r="C4748" t="s">
        <v>7</v>
      </c>
      <c r="D4748" t="str">
        <f t="shared" si="169"/>
        <v>563781</v>
      </c>
      <c r="E4748" t="s">
        <v>4993</v>
      </c>
      <c r="F4748" t="s">
        <v>11</v>
      </c>
    </row>
    <row r="4749" spans="1:6" x14ac:dyDescent="0.25">
      <c r="A4749" t="str">
        <f>"06326854"</f>
        <v>06326854</v>
      </c>
      <c r="B4749" t="s">
        <v>4999</v>
      </c>
      <c r="C4749" t="s">
        <v>7</v>
      </c>
      <c r="D4749" t="str">
        <f t="shared" si="169"/>
        <v>563781</v>
      </c>
      <c r="E4749" t="s">
        <v>4993</v>
      </c>
      <c r="F4749" t="s">
        <v>11</v>
      </c>
    </row>
    <row r="4750" spans="1:6" x14ac:dyDescent="0.25">
      <c r="A4750" t="str">
        <f>"07418531"</f>
        <v>07418531</v>
      </c>
      <c r="B4750" t="s">
        <v>5000</v>
      </c>
      <c r="C4750" t="s">
        <v>27</v>
      </c>
      <c r="D4750" t="str">
        <f t="shared" si="169"/>
        <v>563781</v>
      </c>
      <c r="E4750" t="s">
        <v>4993</v>
      </c>
      <c r="F4750" t="s">
        <v>1183</v>
      </c>
    </row>
    <row r="4751" spans="1:6" x14ac:dyDescent="0.25">
      <c r="A4751" t="str">
        <f>"43257534"</f>
        <v>43257534</v>
      </c>
      <c r="B4751" t="s">
        <v>5001</v>
      </c>
      <c r="C4751" t="s">
        <v>7</v>
      </c>
      <c r="D4751" t="str">
        <f t="shared" si="169"/>
        <v>563781</v>
      </c>
      <c r="E4751" t="s">
        <v>4993</v>
      </c>
      <c r="F4751" t="s">
        <v>38</v>
      </c>
    </row>
    <row r="4752" spans="1:6" x14ac:dyDescent="0.25">
      <c r="A4752" t="str">
        <f>"11997141"</f>
        <v>11997141</v>
      </c>
      <c r="B4752" t="s">
        <v>5002</v>
      </c>
      <c r="C4752" t="s">
        <v>7</v>
      </c>
      <c r="D4752" t="str">
        <f t="shared" si="169"/>
        <v>563781</v>
      </c>
      <c r="E4752" t="s">
        <v>4993</v>
      </c>
      <c r="F4752" t="s">
        <v>13</v>
      </c>
    </row>
    <row r="4753" spans="1:6" x14ac:dyDescent="0.25">
      <c r="A4753" t="str">
        <f>"16389891"</f>
        <v>16389891</v>
      </c>
      <c r="B4753" t="s">
        <v>5003</v>
      </c>
      <c r="C4753" t="s">
        <v>15</v>
      </c>
      <c r="D4753" t="str">
        <f t="shared" si="169"/>
        <v>563781</v>
      </c>
      <c r="E4753" t="s">
        <v>4993</v>
      </c>
      <c r="F4753" t="s">
        <v>16</v>
      </c>
    </row>
    <row r="4754" spans="1:6" x14ac:dyDescent="0.25">
      <c r="A4754" t="str">
        <f>"05306540"</f>
        <v>05306540</v>
      </c>
      <c r="B4754" t="s">
        <v>5004</v>
      </c>
      <c r="C4754" t="s">
        <v>7</v>
      </c>
      <c r="D4754" t="str">
        <f t="shared" si="169"/>
        <v>563781</v>
      </c>
      <c r="E4754" t="s">
        <v>4993</v>
      </c>
      <c r="F4754" t="s">
        <v>11</v>
      </c>
    </row>
    <row r="4755" spans="1:6" x14ac:dyDescent="0.25">
      <c r="A4755" t="str">
        <f>"26572974"</f>
        <v>26572974</v>
      </c>
      <c r="B4755" t="s">
        <v>5005</v>
      </c>
      <c r="C4755" t="s">
        <v>7</v>
      </c>
      <c r="D4755" t="str">
        <f t="shared" si="169"/>
        <v>563781</v>
      </c>
      <c r="E4755" t="s">
        <v>4993</v>
      </c>
      <c r="F4755" t="s">
        <v>62</v>
      </c>
    </row>
    <row r="4756" spans="1:6" x14ac:dyDescent="0.25">
      <c r="A4756" t="str">
        <f>"16389255"</f>
        <v>16389255</v>
      </c>
      <c r="B4756" t="s">
        <v>5006</v>
      </c>
      <c r="C4756" t="s">
        <v>7</v>
      </c>
      <c r="D4756" t="str">
        <f t="shared" si="169"/>
        <v>563781</v>
      </c>
      <c r="E4756" t="s">
        <v>4993</v>
      </c>
      <c r="F4756" t="s">
        <v>9</v>
      </c>
    </row>
    <row r="4757" spans="1:6" x14ac:dyDescent="0.25">
      <c r="A4757" t="str">
        <f>"64669653"</f>
        <v>64669653</v>
      </c>
      <c r="B4757" t="s">
        <v>5007</v>
      </c>
      <c r="C4757" t="s">
        <v>15</v>
      </c>
      <c r="D4757" t="str">
        <f t="shared" si="169"/>
        <v>563781</v>
      </c>
      <c r="E4757" t="s">
        <v>4993</v>
      </c>
      <c r="F4757" t="s">
        <v>18</v>
      </c>
    </row>
    <row r="4758" spans="1:6" x14ac:dyDescent="0.25">
      <c r="A4758" t="str">
        <f>"22041401"</f>
        <v>22041401</v>
      </c>
      <c r="B4758" t="s">
        <v>5008</v>
      </c>
      <c r="C4758" t="s">
        <v>7</v>
      </c>
      <c r="D4758" t="str">
        <f t="shared" ref="D4758:D4789" si="170">"576964"</f>
        <v>576964</v>
      </c>
      <c r="E4758" t="s">
        <v>5009</v>
      </c>
      <c r="F4758" t="s">
        <v>62</v>
      </c>
    </row>
    <row r="4759" spans="1:6" x14ac:dyDescent="0.25">
      <c r="A4759" t="str">
        <f>"04227603"</f>
        <v>04227603</v>
      </c>
      <c r="B4759" t="s">
        <v>5010</v>
      </c>
      <c r="C4759" t="s">
        <v>7</v>
      </c>
      <c r="D4759" t="str">
        <f t="shared" si="170"/>
        <v>576964</v>
      </c>
      <c r="E4759" t="s">
        <v>5009</v>
      </c>
      <c r="F4759" t="s">
        <v>13</v>
      </c>
    </row>
    <row r="4760" spans="1:6" x14ac:dyDescent="0.25">
      <c r="A4760" t="str">
        <f>"68213166"</f>
        <v>68213166</v>
      </c>
      <c r="B4760" t="s">
        <v>5011</v>
      </c>
      <c r="C4760" t="s">
        <v>15</v>
      </c>
      <c r="D4760" t="str">
        <f t="shared" si="170"/>
        <v>576964</v>
      </c>
      <c r="E4760" t="s">
        <v>5009</v>
      </c>
      <c r="F4760" t="s">
        <v>11</v>
      </c>
    </row>
    <row r="4761" spans="1:6" x14ac:dyDescent="0.25">
      <c r="A4761" t="str">
        <f>"04503121"</f>
        <v>04503121</v>
      </c>
      <c r="B4761" t="s">
        <v>5012</v>
      </c>
      <c r="C4761" t="s">
        <v>27</v>
      </c>
      <c r="D4761" t="str">
        <f t="shared" si="170"/>
        <v>576964</v>
      </c>
      <c r="E4761" t="s">
        <v>5009</v>
      </c>
      <c r="F4761" t="s">
        <v>268</v>
      </c>
    </row>
    <row r="4762" spans="1:6" x14ac:dyDescent="0.25">
      <c r="A4762" t="str">
        <f>"07728727"</f>
        <v>07728727</v>
      </c>
      <c r="B4762" t="s">
        <v>5013</v>
      </c>
      <c r="C4762" t="s">
        <v>7</v>
      </c>
      <c r="D4762" t="str">
        <f t="shared" si="170"/>
        <v>576964</v>
      </c>
      <c r="E4762" t="s">
        <v>5009</v>
      </c>
      <c r="F4762" t="s">
        <v>35</v>
      </c>
    </row>
    <row r="4763" spans="1:6" x14ac:dyDescent="0.25">
      <c r="A4763" t="str">
        <f>"09907521"</f>
        <v>09907521</v>
      </c>
      <c r="B4763" t="s">
        <v>5014</v>
      </c>
      <c r="C4763" t="s">
        <v>15</v>
      </c>
      <c r="D4763" t="str">
        <f t="shared" si="170"/>
        <v>576964</v>
      </c>
      <c r="E4763" t="s">
        <v>5009</v>
      </c>
      <c r="F4763" t="s">
        <v>29</v>
      </c>
    </row>
    <row r="4764" spans="1:6" x14ac:dyDescent="0.25">
      <c r="A4764" t="str">
        <f>"00527602"</f>
        <v>00527602</v>
      </c>
      <c r="B4764" t="s">
        <v>5015</v>
      </c>
      <c r="C4764" t="s">
        <v>15</v>
      </c>
      <c r="D4764" t="str">
        <f t="shared" si="170"/>
        <v>576964</v>
      </c>
      <c r="E4764" t="s">
        <v>5009</v>
      </c>
      <c r="F4764" t="s">
        <v>29</v>
      </c>
    </row>
    <row r="4765" spans="1:6" x14ac:dyDescent="0.25">
      <c r="A4765" t="str">
        <f>"49295535"</f>
        <v>49295535</v>
      </c>
      <c r="B4765" t="s">
        <v>5016</v>
      </c>
      <c r="C4765" t="s">
        <v>15</v>
      </c>
      <c r="D4765" t="str">
        <f t="shared" si="170"/>
        <v>576964</v>
      </c>
      <c r="E4765" t="s">
        <v>5009</v>
      </c>
      <c r="F4765" t="s">
        <v>65</v>
      </c>
    </row>
    <row r="4766" spans="1:6" x14ac:dyDescent="0.25">
      <c r="A4766" t="str">
        <f>"26662353"</f>
        <v>26662353</v>
      </c>
      <c r="B4766" t="s">
        <v>5017</v>
      </c>
      <c r="C4766" t="s">
        <v>7</v>
      </c>
      <c r="D4766" t="str">
        <f t="shared" si="170"/>
        <v>576964</v>
      </c>
      <c r="E4766" t="s">
        <v>5009</v>
      </c>
      <c r="F4766" t="s">
        <v>11</v>
      </c>
    </row>
    <row r="4767" spans="1:6" x14ac:dyDescent="0.25">
      <c r="A4767" t="str">
        <f>"06076556"</f>
        <v>06076556</v>
      </c>
      <c r="B4767" t="s">
        <v>5018</v>
      </c>
      <c r="C4767" t="s">
        <v>7</v>
      </c>
      <c r="D4767" t="str">
        <f t="shared" si="170"/>
        <v>576964</v>
      </c>
      <c r="E4767" t="s">
        <v>5009</v>
      </c>
      <c r="F4767" t="s">
        <v>11</v>
      </c>
    </row>
    <row r="4768" spans="1:6" x14ac:dyDescent="0.25">
      <c r="A4768" t="str">
        <f>"27051854"</f>
        <v>27051854</v>
      </c>
      <c r="B4768" t="s">
        <v>5019</v>
      </c>
      <c r="C4768" t="s">
        <v>7</v>
      </c>
      <c r="D4768" t="str">
        <f t="shared" si="170"/>
        <v>576964</v>
      </c>
      <c r="E4768" t="s">
        <v>5009</v>
      </c>
      <c r="F4768" t="s">
        <v>11</v>
      </c>
    </row>
    <row r="4769" spans="1:6" x14ac:dyDescent="0.25">
      <c r="A4769" t="str">
        <f>"26550750"</f>
        <v>26550750</v>
      </c>
      <c r="B4769" t="s">
        <v>5020</v>
      </c>
      <c r="C4769" t="s">
        <v>7</v>
      </c>
      <c r="D4769" t="str">
        <f t="shared" si="170"/>
        <v>576964</v>
      </c>
      <c r="E4769" t="s">
        <v>5009</v>
      </c>
      <c r="F4769" t="s">
        <v>139</v>
      </c>
    </row>
    <row r="4770" spans="1:6" x14ac:dyDescent="0.25">
      <c r="A4770" t="str">
        <f>"17710430"</f>
        <v>17710430</v>
      </c>
      <c r="B4770" t="s">
        <v>5021</v>
      </c>
      <c r="C4770" t="s">
        <v>43</v>
      </c>
      <c r="D4770" t="str">
        <f t="shared" si="170"/>
        <v>576964</v>
      </c>
      <c r="E4770" t="s">
        <v>5009</v>
      </c>
      <c r="F4770" t="s">
        <v>183</v>
      </c>
    </row>
    <row r="4771" spans="1:6" x14ac:dyDescent="0.25">
      <c r="A4771" t="str">
        <f>"22732519"</f>
        <v>22732519</v>
      </c>
      <c r="B4771" t="s">
        <v>5022</v>
      </c>
      <c r="C4771" t="s">
        <v>7</v>
      </c>
      <c r="D4771" t="str">
        <f t="shared" si="170"/>
        <v>576964</v>
      </c>
      <c r="E4771" t="s">
        <v>5009</v>
      </c>
      <c r="F4771" t="s">
        <v>11</v>
      </c>
    </row>
    <row r="4772" spans="1:6" x14ac:dyDescent="0.25">
      <c r="A4772" t="str">
        <f>"05639433"</f>
        <v>05639433</v>
      </c>
      <c r="B4772" t="s">
        <v>5023</v>
      </c>
      <c r="C4772" t="s">
        <v>7</v>
      </c>
      <c r="D4772" t="str">
        <f t="shared" si="170"/>
        <v>576964</v>
      </c>
      <c r="E4772" t="s">
        <v>5009</v>
      </c>
      <c r="F4772" t="s">
        <v>137</v>
      </c>
    </row>
    <row r="4773" spans="1:6" x14ac:dyDescent="0.25">
      <c r="A4773" t="str">
        <f>"67777678"</f>
        <v>67777678</v>
      </c>
      <c r="B4773" t="s">
        <v>5024</v>
      </c>
      <c r="C4773" t="s">
        <v>15</v>
      </c>
      <c r="D4773" t="str">
        <f t="shared" si="170"/>
        <v>576964</v>
      </c>
      <c r="E4773" t="s">
        <v>5009</v>
      </c>
      <c r="F4773" t="s">
        <v>38</v>
      </c>
    </row>
    <row r="4774" spans="1:6" x14ac:dyDescent="0.25">
      <c r="A4774" t="str">
        <f>"62014382"</f>
        <v>62014382</v>
      </c>
      <c r="B4774" t="s">
        <v>5025</v>
      </c>
      <c r="C4774" t="s">
        <v>15</v>
      </c>
      <c r="D4774" t="str">
        <f t="shared" si="170"/>
        <v>576964</v>
      </c>
      <c r="E4774" t="s">
        <v>5009</v>
      </c>
      <c r="F4774" t="s">
        <v>29</v>
      </c>
    </row>
    <row r="4775" spans="1:6" x14ac:dyDescent="0.25">
      <c r="A4775" t="str">
        <f>"13586122"</f>
        <v>13586122</v>
      </c>
      <c r="B4775" t="s">
        <v>5026</v>
      </c>
      <c r="C4775" t="s">
        <v>15</v>
      </c>
      <c r="D4775" t="str">
        <f t="shared" si="170"/>
        <v>576964</v>
      </c>
      <c r="E4775" t="s">
        <v>5009</v>
      </c>
      <c r="F4775" t="s">
        <v>29</v>
      </c>
    </row>
    <row r="4776" spans="1:6" x14ac:dyDescent="0.25">
      <c r="A4776" t="str">
        <f>"70861765"</f>
        <v>70861765</v>
      </c>
      <c r="B4776" t="s">
        <v>5027</v>
      </c>
      <c r="C4776" t="s">
        <v>15</v>
      </c>
      <c r="D4776" t="str">
        <f t="shared" si="170"/>
        <v>576964</v>
      </c>
      <c r="E4776" t="s">
        <v>5009</v>
      </c>
      <c r="F4776" t="s">
        <v>29</v>
      </c>
    </row>
    <row r="4777" spans="1:6" x14ac:dyDescent="0.25">
      <c r="A4777" t="str">
        <f>"22742301"</f>
        <v>22742301</v>
      </c>
      <c r="B4777" t="s">
        <v>5028</v>
      </c>
      <c r="C4777" t="s">
        <v>15</v>
      </c>
      <c r="D4777" t="str">
        <f t="shared" si="170"/>
        <v>576964</v>
      </c>
      <c r="E4777" t="s">
        <v>5009</v>
      </c>
      <c r="F4777" t="s">
        <v>29</v>
      </c>
    </row>
    <row r="4778" spans="1:6" x14ac:dyDescent="0.25">
      <c r="A4778" t="str">
        <f>"05178576"</f>
        <v>05178576</v>
      </c>
      <c r="B4778" t="s">
        <v>5029</v>
      </c>
      <c r="C4778" t="s">
        <v>15</v>
      </c>
      <c r="D4778" t="str">
        <f t="shared" si="170"/>
        <v>576964</v>
      </c>
      <c r="E4778" t="s">
        <v>5009</v>
      </c>
      <c r="F4778" t="s">
        <v>29</v>
      </c>
    </row>
    <row r="4779" spans="1:6" x14ac:dyDescent="0.25">
      <c r="A4779" t="str">
        <f>"49296051"</f>
        <v>49296051</v>
      </c>
      <c r="B4779" t="s">
        <v>5030</v>
      </c>
      <c r="C4779" t="s">
        <v>15</v>
      </c>
      <c r="D4779" t="str">
        <f t="shared" si="170"/>
        <v>576964</v>
      </c>
      <c r="E4779" t="s">
        <v>5009</v>
      </c>
      <c r="F4779" t="s">
        <v>62</v>
      </c>
    </row>
    <row r="4780" spans="1:6" x14ac:dyDescent="0.25">
      <c r="A4780" t="str">
        <f>"06124160"</f>
        <v>06124160</v>
      </c>
      <c r="B4780" t="s">
        <v>5031</v>
      </c>
      <c r="C4780" t="s">
        <v>27</v>
      </c>
      <c r="D4780" t="str">
        <f t="shared" si="170"/>
        <v>576964</v>
      </c>
      <c r="E4780" t="s">
        <v>5009</v>
      </c>
      <c r="F4780" t="s">
        <v>2839</v>
      </c>
    </row>
    <row r="4781" spans="1:6" x14ac:dyDescent="0.25">
      <c r="A4781" t="str">
        <f>"09088091"</f>
        <v>09088091</v>
      </c>
      <c r="B4781" t="s">
        <v>5032</v>
      </c>
      <c r="C4781" t="s">
        <v>27</v>
      </c>
      <c r="D4781" t="str">
        <f t="shared" si="170"/>
        <v>576964</v>
      </c>
      <c r="E4781" t="s">
        <v>5009</v>
      </c>
      <c r="F4781" t="s">
        <v>5033</v>
      </c>
    </row>
    <row r="4782" spans="1:6" x14ac:dyDescent="0.25">
      <c r="A4782" t="str">
        <f>"28813626"</f>
        <v>28813626</v>
      </c>
      <c r="B4782" t="s">
        <v>5034</v>
      </c>
      <c r="C4782" t="s">
        <v>78</v>
      </c>
      <c r="D4782" t="str">
        <f t="shared" si="170"/>
        <v>576964</v>
      </c>
      <c r="E4782" t="s">
        <v>5009</v>
      </c>
      <c r="F4782" t="s">
        <v>11</v>
      </c>
    </row>
    <row r="4783" spans="1:6" x14ac:dyDescent="0.25">
      <c r="A4783" t="str">
        <f>"22871080"</f>
        <v>22871080</v>
      </c>
      <c r="B4783" t="s">
        <v>5035</v>
      </c>
      <c r="C4783" t="s">
        <v>7</v>
      </c>
      <c r="D4783" t="str">
        <f t="shared" si="170"/>
        <v>576964</v>
      </c>
      <c r="E4783" t="s">
        <v>5009</v>
      </c>
      <c r="F4783" t="s">
        <v>183</v>
      </c>
    </row>
    <row r="4784" spans="1:6" x14ac:dyDescent="0.25">
      <c r="A4784" t="str">
        <f>"08828555"</f>
        <v>08828555</v>
      </c>
      <c r="B4784" t="s">
        <v>5036</v>
      </c>
      <c r="C4784" t="s">
        <v>7</v>
      </c>
      <c r="D4784" t="str">
        <f t="shared" si="170"/>
        <v>576964</v>
      </c>
      <c r="E4784" t="s">
        <v>5009</v>
      </c>
      <c r="F4784" t="s">
        <v>11</v>
      </c>
    </row>
    <row r="4785" spans="1:6" x14ac:dyDescent="0.25">
      <c r="A4785" t="str">
        <f>"22671714"</f>
        <v>22671714</v>
      </c>
      <c r="B4785" t="s">
        <v>5037</v>
      </c>
      <c r="C4785" t="s">
        <v>7</v>
      </c>
      <c r="D4785" t="str">
        <f t="shared" si="170"/>
        <v>576964</v>
      </c>
      <c r="E4785" t="s">
        <v>5009</v>
      </c>
      <c r="F4785" t="s">
        <v>35</v>
      </c>
    </row>
    <row r="4786" spans="1:6" x14ac:dyDescent="0.25">
      <c r="A4786" t="str">
        <f>"27029841"</f>
        <v>27029841</v>
      </c>
      <c r="B4786" t="s">
        <v>5038</v>
      </c>
      <c r="C4786" t="s">
        <v>7</v>
      </c>
      <c r="D4786" t="str">
        <f t="shared" si="170"/>
        <v>576964</v>
      </c>
      <c r="E4786" t="s">
        <v>5009</v>
      </c>
      <c r="F4786" t="s">
        <v>65</v>
      </c>
    </row>
    <row r="4787" spans="1:6" x14ac:dyDescent="0.25">
      <c r="A4787" t="str">
        <f>"45599319"</f>
        <v>45599319</v>
      </c>
      <c r="B4787" t="s">
        <v>5039</v>
      </c>
      <c r="C4787" t="s">
        <v>37</v>
      </c>
      <c r="D4787" t="str">
        <f t="shared" si="170"/>
        <v>576964</v>
      </c>
      <c r="E4787" t="s">
        <v>5009</v>
      </c>
      <c r="F4787" t="s">
        <v>38</v>
      </c>
    </row>
    <row r="4788" spans="1:6" x14ac:dyDescent="0.25">
      <c r="A4788" t="str">
        <f>"06948189"</f>
        <v>06948189</v>
      </c>
      <c r="B4788" t="s">
        <v>5040</v>
      </c>
      <c r="C4788" t="s">
        <v>7</v>
      </c>
      <c r="D4788" t="str">
        <f t="shared" si="170"/>
        <v>576964</v>
      </c>
      <c r="E4788" t="s">
        <v>5009</v>
      </c>
      <c r="F4788" t="s">
        <v>11</v>
      </c>
    </row>
    <row r="4789" spans="1:6" x14ac:dyDescent="0.25">
      <c r="A4789" t="str">
        <f>"00485128"</f>
        <v>00485128</v>
      </c>
      <c r="B4789" t="s">
        <v>5041</v>
      </c>
      <c r="C4789" t="s">
        <v>7</v>
      </c>
      <c r="D4789" t="str">
        <f t="shared" si="170"/>
        <v>576964</v>
      </c>
      <c r="E4789" t="s">
        <v>5009</v>
      </c>
      <c r="F4789" t="s">
        <v>1096</v>
      </c>
    </row>
    <row r="4790" spans="1:6" x14ac:dyDescent="0.25">
      <c r="A4790" t="str">
        <f>"06647740"</f>
        <v>06647740</v>
      </c>
      <c r="B4790" t="s">
        <v>5042</v>
      </c>
      <c r="C4790" t="s">
        <v>7</v>
      </c>
      <c r="D4790" t="str">
        <f t="shared" ref="D4790:D4821" si="171">"576964"</f>
        <v>576964</v>
      </c>
      <c r="E4790" t="s">
        <v>5009</v>
      </c>
      <c r="F4790" t="s">
        <v>35</v>
      </c>
    </row>
    <row r="4791" spans="1:6" x14ac:dyDescent="0.25">
      <c r="A4791" t="str">
        <f>"15043771"</f>
        <v>15043771</v>
      </c>
      <c r="B4791" t="s">
        <v>5043</v>
      </c>
      <c r="C4791" t="s">
        <v>15</v>
      </c>
      <c r="D4791" t="str">
        <f t="shared" si="171"/>
        <v>576964</v>
      </c>
      <c r="E4791" t="s">
        <v>5009</v>
      </c>
      <c r="F4791" t="s">
        <v>139</v>
      </c>
    </row>
    <row r="4792" spans="1:6" x14ac:dyDescent="0.25">
      <c r="A4792" t="str">
        <f>"49294971"</f>
        <v>49294971</v>
      </c>
      <c r="B4792" t="s">
        <v>5044</v>
      </c>
      <c r="C4792" t="s">
        <v>7</v>
      </c>
      <c r="D4792" t="str">
        <f t="shared" si="171"/>
        <v>576964</v>
      </c>
      <c r="E4792" t="s">
        <v>5009</v>
      </c>
      <c r="F4792" t="s">
        <v>35</v>
      </c>
    </row>
    <row r="4793" spans="1:6" x14ac:dyDescent="0.25">
      <c r="A4793" t="str">
        <f>"27043061"</f>
        <v>27043061</v>
      </c>
      <c r="B4793" t="s">
        <v>5045</v>
      </c>
      <c r="C4793" t="s">
        <v>7</v>
      </c>
      <c r="D4793" t="str">
        <f t="shared" si="171"/>
        <v>576964</v>
      </c>
      <c r="E4793" t="s">
        <v>5009</v>
      </c>
      <c r="F4793" t="s">
        <v>379</v>
      </c>
    </row>
    <row r="4794" spans="1:6" x14ac:dyDescent="0.25">
      <c r="A4794" t="str">
        <f>"49111671"</f>
        <v>49111671</v>
      </c>
      <c r="B4794" t="s">
        <v>5046</v>
      </c>
      <c r="C4794" t="s">
        <v>15</v>
      </c>
      <c r="D4794" t="str">
        <f t="shared" si="171"/>
        <v>576964</v>
      </c>
      <c r="E4794" t="s">
        <v>5009</v>
      </c>
      <c r="F4794" t="s">
        <v>9</v>
      </c>
    </row>
    <row r="4795" spans="1:6" x14ac:dyDescent="0.25">
      <c r="A4795" t="str">
        <f>"22840796"</f>
        <v>22840796</v>
      </c>
      <c r="B4795" t="s">
        <v>5047</v>
      </c>
      <c r="C4795" t="s">
        <v>7</v>
      </c>
      <c r="D4795" t="str">
        <f t="shared" si="171"/>
        <v>576964</v>
      </c>
      <c r="E4795" t="s">
        <v>5009</v>
      </c>
      <c r="F4795" t="s">
        <v>11</v>
      </c>
    </row>
    <row r="4796" spans="1:6" x14ac:dyDescent="0.25">
      <c r="A4796" t="str">
        <f>"22863851"</f>
        <v>22863851</v>
      </c>
      <c r="B4796" t="s">
        <v>5048</v>
      </c>
      <c r="C4796" t="s">
        <v>7</v>
      </c>
      <c r="D4796" t="str">
        <f t="shared" si="171"/>
        <v>576964</v>
      </c>
      <c r="E4796" t="s">
        <v>5009</v>
      </c>
      <c r="F4796" t="s">
        <v>137</v>
      </c>
    </row>
    <row r="4797" spans="1:6" x14ac:dyDescent="0.25">
      <c r="A4797" t="str">
        <f>"70155780"</f>
        <v>70155780</v>
      </c>
      <c r="B4797" t="s">
        <v>5049</v>
      </c>
      <c r="C4797" t="s">
        <v>7</v>
      </c>
      <c r="D4797" t="str">
        <f t="shared" si="171"/>
        <v>576964</v>
      </c>
      <c r="E4797" t="s">
        <v>5009</v>
      </c>
      <c r="F4797" t="s">
        <v>35</v>
      </c>
    </row>
    <row r="4798" spans="1:6" x14ac:dyDescent="0.25">
      <c r="A4798" t="str">
        <f>"22761659"</f>
        <v>22761659</v>
      </c>
      <c r="B4798" t="s">
        <v>5050</v>
      </c>
      <c r="C4798" t="s">
        <v>7</v>
      </c>
      <c r="D4798" t="str">
        <f t="shared" si="171"/>
        <v>576964</v>
      </c>
      <c r="E4798" t="s">
        <v>5009</v>
      </c>
      <c r="F4798" t="s">
        <v>9</v>
      </c>
    </row>
    <row r="4799" spans="1:6" x14ac:dyDescent="0.25">
      <c r="A4799" t="str">
        <f>"49295446"</f>
        <v>49295446</v>
      </c>
      <c r="B4799" t="s">
        <v>5051</v>
      </c>
      <c r="C4799" t="s">
        <v>15</v>
      </c>
      <c r="D4799" t="str">
        <f t="shared" si="171"/>
        <v>576964</v>
      </c>
      <c r="E4799" t="s">
        <v>5009</v>
      </c>
      <c r="F4799" t="s">
        <v>11</v>
      </c>
    </row>
    <row r="4800" spans="1:6" x14ac:dyDescent="0.25">
      <c r="A4800" t="str">
        <f>"45597618"</f>
        <v>45597618</v>
      </c>
      <c r="B4800" t="s">
        <v>5052</v>
      </c>
      <c r="C4800" t="s">
        <v>7</v>
      </c>
      <c r="D4800" t="str">
        <f t="shared" si="171"/>
        <v>576964</v>
      </c>
      <c r="E4800" t="s">
        <v>5009</v>
      </c>
      <c r="F4800" t="s">
        <v>38</v>
      </c>
    </row>
    <row r="4801" spans="1:6" x14ac:dyDescent="0.25">
      <c r="A4801" t="str">
        <f>"07190409"</f>
        <v>07190409</v>
      </c>
      <c r="B4801" t="s">
        <v>5053</v>
      </c>
      <c r="C4801" t="s">
        <v>7</v>
      </c>
      <c r="D4801" t="str">
        <f t="shared" si="171"/>
        <v>576964</v>
      </c>
      <c r="E4801" t="s">
        <v>5009</v>
      </c>
      <c r="F4801" t="s">
        <v>11</v>
      </c>
    </row>
    <row r="4802" spans="1:6" x14ac:dyDescent="0.25">
      <c r="A4802" t="str">
        <f>"06685838"</f>
        <v>06685838</v>
      </c>
      <c r="B4802" t="s">
        <v>5054</v>
      </c>
      <c r="C4802" t="s">
        <v>7</v>
      </c>
      <c r="D4802" t="str">
        <f t="shared" si="171"/>
        <v>576964</v>
      </c>
      <c r="E4802" t="s">
        <v>5009</v>
      </c>
      <c r="F4802" t="s">
        <v>11</v>
      </c>
    </row>
    <row r="4803" spans="1:6" x14ac:dyDescent="0.25">
      <c r="A4803" t="str">
        <f>"62012711"</f>
        <v>62012711</v>
      </c>
      <c r="B4803" t="s">
        <v>5055</v>
      </c>
      <c r="C4803" t="s">
        <v>43</v>
      </c>
      <c r="D4803" t="str">
        <f t="shared" si="171"/>
        <v>576964</v>
      </c>
      <c r="E4803" t="s">
        <v>5009</v>
      </c>
      <c r="F4803" t="s">
        <v>44</v>
      </c>
    </row>
    <row r="4804" spans="1:6" x14ac:dyDescent="0.25">
      <c r="A4804" t="str">
        <f>"19243421"</f>
        <v>19243421</v>
      </c>
      <c r="B4804" t="s">
        <v>5056</v>
      </c>
      <c r="C4804" t="s">
        <v>325</v>
      </c>
      <c r="D4804" t="str">
        <f t="shared" si="171"/>
        <v>576964</v>
      </c>
      <c r="E4804" t="s">
        <v>5009</v>
      </c>
      <c r="F4804" t="s">
        <v>11</v>
      </c>
    </row>
    <row r="4805" spans="1:6" x14ac:dyDescent="0.25">
      <c r="A4805" t="str">
        <f>"49294911"</f>
        <v>49294911</v>
      </c>
      <c r="B4805" t="s">
        <v>5057</v>
      </c>
      <c r="C4805" t="s">
        <v>124</v>
      </c>
      <c r="D4805" t="str">
        <f t="shared" si="171"/>
        <v>576964</v>
      </c>
      <c r="E4805" t="s">
        <v>5009</v>
      </c>
      <c r="F4805" t="s">
        <v>11</v>
      </c>
    </row>
    <row r="4806" spans="1:6" x14ac:dyDescent="0.25">
      <c r="A4806" t="str">
        <f>"22605169"</f>
        <v>22605169</v>
      </c>
      <c r="B4806" t="s">
        <v>5058</v>
      </c>
      <c r="C4806" t="s">
        <v>7</v>
      </c>
      <c r="D4806" t="str">
        <f t="shared" si="171"/>
        <v>576964</v>
      </c>
      <c r="E4806" t="s">
        <v>5009</v>
      </c>
      <c r="F4806" t="s">
        <v>62</v>
      </c>
    </row>
    <row r="4807" spans="1:6" x14ac:dyDescent="0.25">
      <c r="A4807" t="str">
        <f>"49295543"</f>
        <v>49295543</v>
      </c>
      <c r="B4807" t="s">
        <v>5059</v>
      </c>
      <c r="C4807" t="s">
        <v>20</v>
      </c>
      <c r="D4807" t="str">
        <f t="shared" si="171"/>
        <v>576964</v>
      </c>
      <c r="E4807" t="s">
        <v>5009</v>
      </c>
      <c r="F4807" t="s">
        <v>21</v>
      </c>
    </row>
    <row r="4808" spans="1:6" x14ac:dyDescent="0.25">
      <c r="A4808" t="str">
        <f>"62014935"</f>
        <v>62014935</v>
      </c>
      <c r="B4808" t="s">
        <v>5060</v>
      </c>
      <c r="C4808" t="s">
        <v>20</v>
      </c>
      <c r="D4808" t="str">
        <f t="shared" si="171"/>
        <v>576964</v>
      </c>
      <c r="E4808" t="s">
        <v>5009</v>
      </c>
      <c r="F4808" t="s">
        <v>21</v>
      </c>
    </row>
    <row r="4809" spans="1:6" x14ac:dyDescent="0.25">
      <c r="A4809" t="str">
        <f>"01532201"</f>
        <v>01532201</v>
      </c>
      <c r="B4809" t="s">
        <v>5061</v>
      </c>
      <c r="C4809" t="s">
        <v>15</v>
      </c>
      <c r="D4809" t="str">
        <f t="shared" si="171"/>
        <v>576964</v>
      </c>
      <c r="E4809" t="s">
        <v>5009</v>
      </c>
      <c r="F4809" t="s">
        <v>9</v>
      </c>
    </row>
    <row r="4810" spans="1:6" x14ac:dyDescent="0.25">
      <c r="A4810" t="str">
        <f>"68247931"</f>
        <v>68247931</v>
      </c>
      <c r="B4810" t="s">
        <v>5062</v>
      </c>
      <c r="C4810" t="s">
        <v>7</v>
      </c>
      <c r="D4810" t="str">
        <f t="shared" si="171"/>
        <v>576964</v>
      </c>
      <c r="E4810" t="s">
        <v>5009</v>
      </c>
      <c r="F4810" t="s">
        <v>62</v>
      </c>
    </row>
    <row r="4811" spans="1:6" x14ac:dyDescent="0.25">
      <c r="A4811" t="str">
        <f>"71179755"</f>
        <v>71179755</v>
      </c>
      <c r="B4811" t="s">
        <v>5063</v>
      </c>
      <c r="C4811" t="s">
        <v>15</v>
      </c>
      <c r="D4811" t="str">
        <f t="shared" si="171"/>
        <v>576964</v>
      </c>
      <c r="E4811" t="s">
        <v>5009</v>
      </c>
      <c r="F4811" t="s">
        <v>65</v>
      </c>
    </row>
    <row r="4812" spans="1:6" x14ac:dyDescent="0.25">
      <c r="A4812" t="str">
        <f>"62012622"</f>
        <v>62012622</v>
      </c>
      <c r="B4812" t="s">
        <v>5064</v>
      </c>
      <c r="C4812" t="s">
        <v>20</v>
      </c>
      <c r="D4812" t="str">
        <f t="shared" si="171"/>
        <v>576964</v>
      </c>
      <c r="E4812" t="s">
        <v>5009</v>
      </c>
      <c r="F4812" t="s">
        <v>21</v>
      </c>
    </row>
    <row r="4813" spans="1:6" x14ac:dyDescent="0.25">
      <c r="A4813" t="str">
        <f>"45598525"</f>
        <v>45598525</v>
      </c>
      <c r="B4813" t="s">
        <v>5065</v>
      </c>
      <c r="C4813" t="s">
        <v>7</v>
      </c>
      <c r="D4813" t="str">
        <f t="shared" si="171"/>
        <v>576964</v>
      </c>
      <c r="E4813" t="s">
        <v>5009</v>
      </c>
      <c r="F4813" t="s">
        <v>11</v>
      </c>
    </row>
    <row r="4814" spans="1:6" x14ac:dyDescent="0.25">
      <c r="A4814" t="str">
        <f>"22763783"</f>
        <v>22763783</v>
      </c>
      <c r="B4814" t="s">
        <v>5066</v>
      </c>
      <c r="C4814" t="s">
        <v>7</v>
      </c>
      <c r="D4814" t="str">
        <f t="shared" si="171"/>
        <v>576964</v>
      </c>
      <c r="E4814" t="s">
        <v>5009</v>
      </c>
      <c r="F4814" t="s">
        <v>11</v>
      </c>
    </row>
    <row r="4815" spans="1:6" x14ac:dyDescent="0.25">
      <c r="A4815" t="str">
        <f>"49294555"</f>
        <v>49294555</v>
      </c>
      <c r="B4815" t="s">
        <v>5067</v>
      </c>
      <c r="C4815" t="s">
        <v>7</v>
      </c>
      <c r="D4815" t="str">
        <f t="shared" si="171"/>
        <v>576964</v>
      </c>
      <c r="E4815" t="s">
        <v>5009</v>
      </c>
      <c r="F4815" t="s">
        <v>11</v>
      </c>
    </row>
    <row r="4816" spans="1:6" x14ac:dyDescent="0.25">
      <c r="A4816" t="str">
        <f>"22686932"</f>
        <v>22686932</v>
      </c>
      <c r="B4816" t="s">
        <v>5068</v>
      </c>
      <c r="C4816" t="s">
        <v>7</v>
      </c>
      <c r="D4816" t="str">
        <f t="shared" si="171"/>
        <v>576964</v>
      </c>
      <c r="E4816" t="s">
        <v>5009</v>
      </c>
      <c r="F4816" t="s">
        <v>11</v>
      </c>
    </row>
    <row r="4817" spans="1:6" x14ac:dyDescent="0.25">
      <c r="A4817" t="str">
        <f>"68212623"</f>
        <v>68212623</v>
      </c>
      <c r="B4817" t="s">
        <v>5069</v>
      </c>
      <c r="C4817" t="s">
        <v>7</v>
      </c>
      <c r="D4817" t="str">
        <f t="shared" si="171"/>
        <v>576964</v>
      </c>
      <c r="E4817" t="s">
        <v>5009</v>
      </c>
      <c r="F4817" t="s">
        <v>1777</v>
      </c>
    </row>
    <row r="4818" spans="1:6" x14ac:dyDescent="0.25">
      <c r="A4818" t="str">
        <f>"07902905"</f>
        <v>07902905</v>
      </c>
      <c r="B4818" t="s">
        <v>5070</v>
      </c>
      <c r="C4818" t="s">
        <v>7</v>
      </c>
      <c r="D4818" t="str">
        <f t="shared" si="171"/>
        <v>576964</v>
      </c>
      <c r="E4818" t="s">
        <v>5009</v>
      </c>
      <c r="F4818" t="s">
        <v>13</v>
      </c>
    </row>
    <row r="4819" spans="1:6" x14ac:dyDescent="0.25">
      <c r="A4819" t="str">
        <f>"26674131"</f>
        <v>26674131</v>
      </c>
      <c r="B4819" t="s">
        <v>5071</v>
      </c>
      <c r="C4819" t="s">
        <v>7</v>
      </c>
      <c r="D4819" t="str">
        <f t="shared" si="171"/>
        <v>576964</v>
      </c>
      <c r="E4819" t="s">
        <v>5009</v>
      </c>
      <c r="F4819" t="s">
        <v>11</v>
      </c>
    </row>
    <row r="4820" spans="1:6" x14ac:dyDescent="0.25">
      <c r="A4820" t="str">
        <f>"15045463"</f>
        <v>15045463</v>
      </c>
      <c r="B4820" t="s">
        <v>5072</v>
      </c>
      <c r="C4820" t="s">
        <v>43</v>
      </c>
      <c r="D4820" t="str">
        <f t="shared" si="171"/>
        <v>576964</v>
      </c>
      <c r="E4820" t="s">
        <v>5009</v>
      </c>
      <c r="F4820" t="s">
        <v>44</v>
      </c>
    </row>
    <row r="4821" spans="1:6" x14ac:dyDescent="0.25">
      <c r="A4821" t="str">
        <f>"45599645"</f>
        <v>45599645</v>
      </c>
      <c r="B4821" t="s">
        <v>5073</v>
      </c>
      <c r="C4821" t="s">
        <v>43</v>
      </c>
      <c r="D4821" t="str">
        <f t="shared" si="171"/>
        <v>576964</v>
      </c>
      <c r="E4821" t="s">
        <v>5009</v>
      </c>
      <c r="F4821" t="s">
        <v>44</v>
      </c>
    </row>
    <row r="4822" spans="1:6" x14ac:dyDescent="0.25">
      <c r="A4822" t="str">
        <f>"45599688"</f>
        <v>45599688</v>
      </c>
      <c r="B4822" t="s">
        <v>5074</v>
      </c>
      <c r="C4822" t="s">
        <v>43</v>
      </c>
      <c r="D4822" t="str">
        <f t="shared" ref="D4822:D4853" si="172">"576964"</f>
        <v>576964</v>
      </c>
      <c r="E4822" t="s">
        <v>5009</v>
      </c>
      <c r="F4822" t="s">
        <v>44</v>
      </c>
    </row>
    <row r="4823" spans="1:6" x14ac:dyDescent="0.25">
      <c r="A4823" t="str">
        <f>"49294083"</f>
        <v>49294083</v>
      </c>
      <c r="B4823" t="s">
        <v>5075</v>
      </c>
      <c r="C4823" t="s">
        <v>43</v>
      </c>
      <c r="D4823" t="str">
        <f t="shared" si="172"/>
        <v>576964</v>
      </c>
      <c r="E4823" t="s">
        <v>5009</v>
      </c>
      <c r="F4823" t="s">
        <v>44</v>
      </c>
    </row>
    <row r="4824" spans="1:6" x14ac:dyDescent="0.25">
      <c r="A4824" t="str">
        <f>"73635642"</f>
        <v>73635642</v>
      </c>
      <c r="B4824" t="s">
        <v>5076</v>
      </c>
      <c r="C4824" t="s">
        <v>43</v>
      </c>
      <c r="D4824" t="str">
        <f t="shared" si="172"/>
        <v>576964</v>
      </c>
      <c r="E4824" t="s">
        <v>5009</v>
      </c>
      <c r="F4824" t="s">
        <v>44</v>
      </c>
    </row>
    <row r="4825" spans="1:6" x14ac:dyDescent="0.25">
      <c r="A4825" t="str">
        <f>"26529807"</f>
        <v>26529807</v>
      </c>
      <c r="B4825" t="s">
        <v>5077</v>
      </c>
      <c r="C4825" t="s">
        <v>7</v>
      </c>
      <c r="D4825" t="str">
        <f t="shared" si="172"/>
        <v>576964</v>
      </c>
      <c r="E4825" t="s">
        <v>5009</v>
      </c>
      <c r="F4825" t="s">
        <v>35</v>
      </c>
    </row>
    <row r="4826" spans="1:6" x14ac:dyDescent="0.25">
      <c r="A4826" t="str">
        <f>"27007189"</f>
        <v>27007189</v>
      </c>
      <c r="B4826" t="s">
        <v>5078</v>
      </c>
      <c r="C4826" t="s">
        <v>7</v>
      </c>
      <c r="D4826" t="str">
        <f t="shared" si="172"/>
        <v>576964</v>
      </c>
      <c r="E4826" t="s">
        <v>5009</v>
      </c>
      <c r="F4826" t="s">
        <v>11</v>
      </c>
    </row>
    <row r="4827" spans="1:6" x14ac:dyDescent="0.25">
      <c r="A4827" t="str">
        <f>"62014919"</f>
        <v>62014919</v>
      </c>
      <c r="B4827" t="s">
        <v>5079</v>
      </c>
      <c r="C4827" t="s">
        <v>7</v>
      </c>
      <c r="D4827" t="str">
        <f t="shared" si="172"/>
        <v>576964</v>
      </c>
      <c r="E4827" t="s">
        <v>5009</v>
      </c>
      <c r="F4827" t="s">
        <v>11</v>
      </c>
    </row>
    <row r="4828" spans="1:6" x14ac:dyDescent="0.25">
      <c r="A4828" t="str">
        <f>"62014609"</f>
        <v>62014609</v>
      </c>
      <c r="B4828" t="s">
        <v>5080</v>
      </c>
      <c r="C4828" t="s">
        <v>7</v>
      </c>
      <c r="D4828" t="str">
        <f t="shared" si="172"/>
        <v>576964</v>
      </c>
      <c r="E4828" t="s">
        <v>5009</v>
      </c>
      <c r="F4828" t="s">
        <v>254</v>
      </c>
    </row>
    <row r="4829" spans="1:6" x14ac:dyDescent="0.25">
      <c r="A4829" t="str">
        <f>"27038131"</f>
        <v>27038131</v>
      </c>
      <c r="B4829" t="s">
        <v>5081</v>
      </c>
      <c r="C4829" t="s">
        <v>1038</v>
      </c>
      <c r="D4829" t="str">
        <f t="shared" si="172"/>
        <v>576964</v>
      </c>
      <c r="E4829" t="s">
        <v>5009</v>
      </c>
      <c r="F4829" t="s">
        <v>1039</v>
      </c>
    </row>
    <row r="4830" spans="1:6" x14ac:dyDescent="0.25">
      <c r="A4830" t="str">
        <f>"08930121"</f>
        <v>08930121</v>
      </c>
      <c r="B4830" t="s">
        <v>5082</v>
      </c>
      <c r="C4830" t="s">
        <v>7</v>
      </c>
      <c r="D4830" t="str">
        <f t="shared" si="172"/>
        <v>576964</v>
      </c>
      <c r="E4830" t="s">
        <v>5009</v>
      </c>
      <c r="F4830" t="s">
        <v>62</v>
      </c>
    </row>
    <row r="4831" spans="1:6" x14ac:dyDescent="0.25">
      <c r="A4831" t="str">
        <f>"22881735"</f>
        <v>22881735</v>
      </c>
      <c r="B4831" t="s">
        <v>5083</v>
      </c>
      <c r="C4831" t="s">
        <v>7</v>
      </c>
      <c r="D4831" t="str">
        <f t="shared" si="172"/>
        <v>576964</v>
      </c>
      <c r="E4831" t="s">
        <v>5009</v>
      </c>
      <c r="F4831" t="s">
        <v>11</v>
      </c>
    </row>
    <row r="4832" spans="1:6" x14ac:dyDescent="0.25">
      <c r="A4832" t="str">
        <f>"07366515"</f>
        <v>07366515</v>
      </c>
      <c r="B4832" t="s">
        <v>5084</v>
      </c>
      <c r="C4832" t="s">
        <v>15</v>
      </c>
      <c r="D4832" t="str">
        <f t="shared" si="172"/>
        <v>576964</v>
      </c>
      <c r="E4832" t="s">
        <v>5009</v>
      </c>
      <c r="F4832" t="s">
        <v>9</v>
      </c>
    </row>
    <row r="4833" spans="1:6" x14ac:dyDescent="0.25">
      <c r="A4833" t="str">
        <f>"62012746"</f>
        <v>62012746</v>
      </c>
      <c r="B4833" t="s">
        <v>5085</v>
      </c>
      <c r="C4833" t="s">
        <v>15</v>
      </c>
      <c r="D4833" t="str">
        <f t="shared" si="172"/>
        <v>576964</v>
      </c>
      <c r="E4833" t="s">
        <v>5009</v>
      </c>
      <c r="F4833" t="s">
        <v>16</v>
      </c>
    </row>
    <row r="4834" spans="1:6" x14ac:dyDescent="0.25">
      <c r="A4834" t="str">
        <f>"62014269"</f>
        <v>62014269</v>
      </c>
      <c r="B4834" t="s">
        <v>5086</v>
      </c>
      <c r="C4834" t="s">
        <v>15</v>
      </c>
      <c r="D4834" t="str">
        <f t="shared" si="172"/>
        <v>576964</v>
      </c>
      <c r="E4834" t="s">
        <v>5009</v>
      </c>
      <c r="F4834" t="s">
        <v>16</v>
      </c>
    </row>
    <row r="4835" spans="1:6" x14ac:dyDescent="0.25">
      <c r="A4835" t="str">
        <f>"62014081"</f>
        <v>62014081</v>
      </c>
      <c r="B4835" t="s">
        <v>5087</v>
      </c>
      <c r="C4835" t="s">
        <v>15</v>
      </c>
      <c r="D4835" t="str">
        <f t="shared" si="172"/>
        <v>576964</v>
      </c>
      <c r="E4835" t="s">
        <v>5009</v>
      </c>
      <c r="F4835" t="s">
        <v>16</v>
      </c>
    </row>
    <row r="4836" spans="1:6" x14ac:dyDescent="0.25">
      <c r="A4836" t="str">
        <f>"62012827"</f>
        <v>62012827</v>
      </c>
      <c r="B4836" t="s">
        <v>5088</v>
      </c>
      <c r="C4836" t="s">
        <v>15</v>
      </c>
      <c r="D4836" t="str">
        <f t="shared" si="172"/>
        <v>576964</v>
      </c>
      <c r="E4836" t="s">
        <v>5009</v>
      </c>
      <c r="F4836" t="s">
        <v>16</v>
      </c>
    </row>
    <row r="4837" spans="1:6" x14ac:dyDescent="0.25">
      <c r="A4837" t="str">
        <f>"62013777"</f>
        <v>62013777</v>
      </c>
      <c r="B4837" t="s">
        <v>5089</v>
      </c>
      <c r="C4837" t="s">
        <v>15</v>
      </c>
      <c r="D4837" t="str">
        <f t="shared" si="172"/>
        <v>576964</v>
      </c>
      <c r="E4837" t="s">
        <v>5009</v>
      </c>
      <c r="F4837" t="s">
        <v>16</v>
      </c>
    </row>
    <row r="4838" spans="1:6" x14ac:dyDescent="0.25">
      <c r="A4838" t="str">
        <f>"49294776"</f>
        <v>49294776</v>
      </c>
      <c r="B4838" t="s">
        <v>5090</v>
      </c>
      <c r="C4838" t="s">
        <v>7</v>
      </c>
      <c r="D4838" t="str">
        <f t="shared" si="172"/>
        <v>576964</v>
      </c>
      <c r="E4838" t="s">
        <v>5009</v>
      </c>
      <c r="F4838" t="s">
        <v>35</v>
      </c>
    </row>
    <row r="4839" spans="1:6" x14ac:dyDescent="0.25">
      <c r="A4839" t="str">
        <f>"22611959"</f>
        <v>22611959</v>
      </c>
      <c r="B4839" t="s">
        <v>5091</v>
      </c>
      <c r="C4839" t="s">
        <v>7</v>
      </c>
      <c r="D4839" t="str">
        <f t="shared" si="172"/>
        <v>576964</v>
      </c>
      <c r="E4839" t="s">
        <v>5009</v>
      </c>
      <c r="F4839" t="s">
        <v>62</v>
      </c>
    </row>
    <row r="4840" spans="1:6" x14ac:dyDescent="0.25">
      <c r="A4840" t="str">
        <f>"22883517"</f>
        <v>22883517</v>
      </c>
      <c r="B4840" t="s">
        <v>5092</v>
      </c>
      <c r="C4840" t="s">
        <v>7</v>
      </c>
      <c r="D4840" t="str">
        <f t="shared" si="172"/>
        <v>576964</v>
      </c>
      <c r="E4840" t="s">
        <v>5009</v>
      </c>
      <c r="F4840" t="s">
        <v>2839</v>
      </c>
    </row>
    <row r="4841" spans="1:6" x14ac:dyDescent="0.25">
      <c r="A4841" t="str">
        <f>"06596975"</f>
        <v>06596975</v>
      </c>
      <c r="B4841" t="s">
        <v>5093</v>
      </c>
      <c r="C4841" t="s">
        <v>7</v>
      </c>
      <c r="D4841" t="str">
        <f t="shared" si="172"/>
        <v>576964</v>
      </c>
      <c r="E4841" t="s">
        <v>5009</v>
      </c>
      <c r="F4841" t="s">
        <v>29</v>
      </c>
    </row>
    <row r="4842" spans="1:6" x14ac:dyDescent="0.25">
      <c r="A4842" t="str">
        <f>"05215421"</f>
        <v>05215421</v>
      </c>
      <c r="B4842" t="s">
        <v>5094</v>
      </c>
      <c r="C4842" t="s">
        <v>7</v>
      </c>
      <c r="D4842" t="str">
        <f t="shared" si="172"/>
        <v>576964</v>
      </c>
      <c r="E4842" t="s">
        <v>5009</v>
      </c>
      <c r="F4842" t="s">
        <v>328</v>
      </c>
    </row>
    <row r="4843" spans="1:6" x14ac:dyDescent="0.25">
      <c r="A4843" t="str">
        <f>"04893689"</f>
        <v>04893689</v>
      </c>
      <c r="B4843" t="s">
        <v>5095</v>
      </c>
      <c r="C4843" t="s">
        <v>7</v>
      </c>
      <c r="D4843" t="str">
        <f t="shared" si="172"/>
        <v>576964</v>
      </c>
      <c r="E4843" t="s">
        <v>5009</v>
      </c>
      <c r="F4843" t="s">
        <v>11</v>
      </c>
    </row>
    <row r="4844" spans="1:6" x14ac:dyDescent="0.25">
      <c r="A4844" t="str">
        <f>"49295608"</f>
        <v>49295608</v>
      </c>
      <c r="B4844" t="s">
        <v>5096</v>
      </c>
      <c r="C4844" t="s">
        <v>7</v>
      </c>
      <c r="D4844" t="str">
        <f t="shared" si="172"/>
        <v>576964</v>
      </c>
      <c r="E4844" t="s">
        <v>5009</v>
      </c>
      <c r="F4844" t="s">
        <v>35</v>
      </c>
    </row>
    <row r="4845" spans="1:6" x14ac:dyDescent="0.25">
      <c r="A4845" t="str">
        <f>"02288265"</f>
        <v>02288265</v>
      </c>
      <c r="B4845" t="s">
        <v>5097</v>
      </c>
      <c r="C4845" t="s">
        <v>7</v>
      </c>
      <c r="D4845" t="str">
        <f t="shared" si="172"/>
        <v>576964</v>
      </c>
      <c r="E4845" t="s">
        <v>5009</v>
      </c>
      <c r="F4845" t="s">
        <v>11</v>
      </c>
    </row>
    <row r="4846" spans="1:6" x14ac:dyDescent="0.25">
      <c r="A4846" t="str">
        <f>"15045242"</f>
        <v>15045242</v>
      </c>
      <c r="B4846" t="s">
        <v>5098</v>
      </c>
      <c r="C4846" t="s">
        <v>7</v>
      </c>
      <c r="D4846" t="str">
        <f t="shared" si="172"/>
        <v>576964</v>
      </c>
      <c r="E4846" t="s">
        <v>5009</v>
      </c>
      <c r="F4846" t="s">
        <v>11</v>
      </c>
    </row>
    <row r="4847" spans="1:6" x14ac:dyDescent="0.25">
      <c r="A4847" t="str">
        <f>"62014641"</f>
        <v>62014641</v>
      </c>
      <c r="B4847" t="s">
        <v>5099</v>
      </c>
      <c r="C4847" t="s">
        <v>7</v>
      </c>
      <c r="D4847" t="str">
        <f t="shared" si="172"/>
        <v>576964</v>
      </c>
      <c r="E4847" t="s">
        <v>5009</v>
      </c>
      <c r="F4847" t="s">
        <v>11</v>
      </c>
    </row>
    <row r="4848" spans="1:6" x14ac:dyDescent="0.25">
      <c r="A4848" t="str">
        <f>"22767738"</f>
        <v>22767738</v>
      </c>
      <c r="B4848" t="s">
        <v>5100</v>
      </c>
      <c r="C4848" t="s">
        <v>7</v>
      </c>
      <c r="D4848" t="str">
        <f t="shared" si="172"/>
        <v>576964</v>
      </c>
      <c r="E4848" t="s">
        <v>5009</v>
      </c>
      <c r="F4848" t="s">
        <v>11</v>
      </c>
    </row>
    <row r="4849" spans="1:6" x14ac:dyDescent="0.25">
      <c r="A4849" t="str">
        <f>"49294679"</f>
        <v>49294679</v>
      </c>
      <c r="B4849" t="s">
        <v>5101</v>
      </c>
      <c r="C4849" t="s">
        <v>7</v>
      </c>
      <c r="D4849" t="str">
        <f t="shared" si="172"/>
        <v>576964</v>
      </c>
      <c r="E4849" t="s">
        <v>5009</v>
      </c>
      <c r="F4849" t="s">
        <v>13</v>
      </c>
    </row>
    <row r="4850" spans="1:6" x14ac:dyDescent="0.25">
      <c r="A4850" t="str">
        <f>"15045641"</f>
        <v>15045641</v>
      </c>
      <c r="B4850" t="s">
        <v>5102</v>
      </c>
      <c r="C4850" t="s">
        <v>7</v>
      </c>
      <c r="D4850" t="str">
        <f t="shared" si="172"/>
        <v>576964</v>
      </c>
      <c r="E4850" t="s">
        <v>5009</v>
      </c>
      <c r="F4850" t="s">
        <v>13</v>
      </c>
    </row>
    <row r="4851" spans="1:6" x14ac:dyDescent="0.25">
      <c r="A4851" t="str">
        <f>"03592588"</f>
        <v>03592588</v>
      </c>
      <c r="B4851" t="s">
        <v>5103</v>
      </c>
      <c r="C4851" t="s">
        <v>7</v>
      </c>
      <c r="D4851" t="str">
        <f t="shared" si="172"/>
        <v>576964</v>
      </c>
      <c r="E4851" t="s">
        <v>5009</v>
      </c>
      <c r="F4851" t="s">
        <v>13</v>
      </c>
    </row>
    <row r="4852" spans="1:6" x14ac:dyDescent="0.25">
      <c r="A4852" t="str">
        <f>"22084240"</f>
        <v>22084240</v>
      </c>
      <c r="B4852" t="s">
        <v>5104</v>
      </c>
      <c r="C4852" t="s">
        <v>7</v>
      </c>
      <c r="D4852" t="str">
        <f t="shared" si="172"/>
        <v>576964</v>
      </c>
      <c r="E4852" t="s">
        <v>5009</v>
      </c>
      <c r="F4852" t="s">
        <v>29</v>
      </c>
    </row>
    <row r="4853" spans="1:6" x14ac:dyDescent="0.25">
      <c r="A4853" t="str">
        <f>"49295331"</f>
        <v>49295331</v>
      </c>
      <c r="B4853" t="s">
        <v>5105</v>
      </c>
      <c r="C4853" t="s">
        <v>7</v>
      </c>
      <c r="D4853" t="str">
        <f t="shared" si="172"/>
        <v>576964</v>
      </c>
      <c r="E4853" t="s">
        <v>5009</v>
      </c>
      <c r="F4853" t="s">
        <v>35</v>
      </c>
    </row>
    <row r="4854" spans="1:6" x14ac:dyDescent="0.25">
      <c r="A4854" t="str">
        <f>"75002043"</f>
        <v>75002043</v>
      </c>
      <c r="B4854" t="s">
        <v>5106</v>
      </c>
      <c r="C4854" t="s">
        <v>15</v>
      </c>
      <c r="D4854" t="str">
        <f t="shared" ref="D4854:D4876" si="173">"576964"</f>
        <v>576964</v>
      </c>
      <c r="E4854" t="s">
        <v>5009</v>
      </c>
      <c r="F4854" t="s">
        <v>11</v>
      </c>
    </row>
    <row r="4855" spans="1:6" x14ac:dyDescent="0.25">
      <c r="A4855" t="str">
        <f>"15044432"</f>
        <v>15044432</v>
      </c>
      <c r="B4855" t="s">
        <v>5107</v>
      </c>
      <c r="C4855" t="s">
        <v>15</v>
      </c>
      <c r="D4855" t="str">
        <f t="shared" si="173"/>
        <v>576964</v>
      </c>
      <c r="E4855" t="s">
        <v>5009</v>
      </c>
      <c r="F4855" t="s">
        <v>9</v>
      </c>
    </row>
    <row r="4856" spans="1:6" x14ac:dyDescent="0.25">
      <c r="A4856" t="str">
        <f>"00529109"</f>
        <v>00529109</v>
      </c>
      <c r="B4856" t="s">
        <v>5108</v>
      </c>
      <c r="C4856" t="s">
        <v>7</v>
      </c>
      <c r="D4856" t="str">
        <f t="shared" si="173"/>
        <v>576964</v>
      </c>
      <c r="E4856" t="s">
        <v>5009</v>
      </c>
      <c r="F4856" t="s">
        <v>65</v>
      </c>
    </row>
    <row r="4857" spans="1:6" x14ac:dyDescent="0.25">
      <c r="A4857" t="str">
        <f>"15045137"</f>
        <v>15045137</v>
      </c>
      <c r="B4857" t="s">
        <v>5109</v>
      </c>
      <c r="C4857" t="s">
        <v>7</v>
      </c>
      <c r="D4857" t="str">
        <f t="shared" si="173"/>
        <v>576964</v>
      </c>
      <c r="E4857" t="s">
        <v>5009</v>
      </c>
      <c r="F4857" t="s">
        <v>35</v>
      </c>
    </row>
    <row r="4858" spans="1:6" x14ac:dyDescent="0.25">
      <c r="A4858" t="str">
        <f>"00433691"</f>
        <v>00433691</v>
      </c>
      <c r="B4858" t="s">
        <v>5110</v>
      </c>
      <c r="C4858" t="s">
        <v>15</v>
      </c>
      <c r="D4858" t="str">
        <f t="shared" si="173"/>
        <v>576964</v>
      </c>
      <c r="E4858" t="s">
        <v>5009</v>
      </c>
      <c r="F4858" t="s">
        <v>29</v>
      </c>
    </row>
    <row r="4859" spans="1:6" x14ac:dyDescent="0.25">
      <c r="A4859" t="str">
        <f>"67798144"</f>
        <v>67798144</v>
      </c>
      <c r="B4859" t="s">
        <v>5111</v>
      </c>
      <c r="C4859" t="s">
        <v>7</v>
      </c>
      <c r="D4859" t="str">
        <f t="shared" si="173"/>
        <v>576964</v>
      </c>
      <c r="E4859" t="s">
        <v>5009</v>
      </c>
      <c r="F4859" t="s">
        <v>11</v>
      </c>
    </row>
    <row r="4860" spans="1:6" x14ac:dyDescent="0.25">
      <c r="A4860" t="str">
        <f>"62014528"</f>
        <v>62014528</v>
      </c>
      <c r="B4860" t="s">
        <v>5112</v>
      </c>
      <c r="C4860" t="s">
        <v>20</v>
      </c>
      <c r="D4860" t="str">
        <f t="shared" si="173"/>
        <v>576964</v>
      </c>
      <c r="E4860" t="s">
        <v>5009</v>
      </c>
      <c r="F4860" t="s">
        <v>21</v>
      </c>
    </row>
    <row r="4861" spans="1:6" x14ac:dyDescent="0.25">
      <c r="A4861" t="str">
        <f>"65734971"</f>
        <v>65734971</v>
      </c>
      <c r="B4861" t="s">
        <v>5113</v>
      </c>
      <c r="C4861" t="s">
        <v>20</v>
      </c>
      <c r="D4861" t="str">
        <f t="shared" si="173"/>
        <v>576964</v>
      </c>
      <c r="E4861" t="s">
        <v>5009</v>
      </c>
      <c r="F4861" t="s">
        <v>21</v>
      </c>
    </row>
    <row r="4862" spans="1:6" x14ac:dyDescent="0.25">
      <c r="A4862" t="str">
        <f>"68209908"</f>
        <v>68209908</v>
      </c>
      <c r="B4862" t="s">
        <v>5114</v>
      </c>
      <c r="C4862" t="s">
        <v>15</v>
      </c>
      <c r="D4862" t="str">
        <f t="shared" si="173"/>
        <v>576964</v>
      </c>
      <c r="E4862" t="s">
        <v>5009</v>
      </c>
      <c r="F4862" t="s">
        <v>11</v>
      </c>
    </row>
    <row r="4863" spans="1:6" x14ac:dyDescent="0.25">
      <c r="A4863" t="str">
        <f>"69174491"</f>
        <v>69174491</v>
      </c>
      <c r="B4863" t="s">
        <v>5115</v>
      </c>
      <c r="C4863" t="s">
        <v>15</v>
      </c>
      <c r="D4863" t="str">
        <f t="shared" si="173"/>
        <v>576964</v>
      </c>
      <c r="E4863" t="s">
        <v>5009</v>
      </c>
      <c r="F4863" t="s">
        <v>29</v>
      </c>
    </row>
    <row r="4864" spans="1:6" x14ac:dyDescent="0.25">
      <c r="A4864" t="str">
        <f>"72551429"</f>
        <v>72551429</v>
      </c>
      <c r="B4864" t="s">
        <v>5116</v>
      </c>
      <c r="C4864" t="s">
        <v>20</v>
      </c>
      <c r="D4864" t="str">
        <f t="shared" si="173"/>
        <v>576964</v>
      </c>
      <c r="E4864" t="s">
        <v>5009</v>
      </c>
      <c r="F4864" t="s">
        <v>21</v>
      </c>
    </row>
    <row r="4865" spans="1:6" x14ac:dyDescent="0.25">
      <c r="A4865" t="str">
        <f>"05566771"</f>
        <v>05566771</v>
      </c>
      <c r="B4865" t="s">
        <v>5117</v>
      </c>
      <c r="C4865" t="s">
        <v>20</v>
      </c>
      <c r="D4865" t="str">
        <f t="shared" si="173"/>
        <v>576964</v>
      </c>
      <c r="E4865" t="s">
        <v>5009</v>
      </c>
      <c r="F4865" t="s">
        <v>21</v>
      </c>
    </row>
    <row r="4866" spans="1:6" x14ac:dyDescent="0.25">
      <c r="A4866" t="str">
        <f>"02722836"</f>
        <v>02722836</v>
      </c>
      <c r="B4866" t="s">
        <v>5118</v>
      </c>
      <c r="C4866" t="s">
        <v>20</v>
      </c>
      <c r="D4866" t="str">
        <f t="shared" si="173"/>
        <v>576964</v>
      </c>
      <c r="E4866" t="s">
        <v>5009</v>
      </c>
      <c r="F4866" t="s">
        <v>21</v>
      </c>
    </row>
    <row r="4867" spans="1:6" x14ac:dyDescent="0.25">
      <c r="A4867" t="str">
        <f>"17510899"</f>
        <v>17510899</v>
      </c>
      <c r="B4867" t="s">
        <v>5119</v>
      </c>
      <c r="C4867" t="s">
        <v>20</v>
      </c>
      <c r="D4867" t="str">
        <f t="shared" si="173"/>
        <v>576964</v>
      </c>
      <c r="E4867" t="s">
        <v>5009</v>
      </c>
      <c r="F4867" t="s">
        <v>21</v>
      </c>
    </row>
    <row r="4868" spans="1:6" x14ac:dyDescent="0.25">
      <c r="A4868" t="str">
        <f>"22750495"</f>
        <v>22750495</v>
      </c>
      <c r="B4868" t="s">
        <v>5120</v>
      </c>
      <c r="C4868" t="s">
        <v>20</v>
      </c>
      <c r="D4868" t="str">
        <f t="shared" si="173"/>
        <v>576964</v>
      </c>
      <c r="E4868" t="s">
        <v>5009</v>
      </c>
      <c r="F4868" t="s">
        <v>21</v>
      </c>
    </row>
    <row r="4869" spans="1:6" x14ac:dyDescent="0.25">
      <c r="A4869" t="str">
        <f>"05315298"</f>
        <v>05315298</v>
      </c>
      <c r="B4869" t="s">
        <v>5121</v>
      </c>
      <c r="C4869" t="s">
        <v>7</v>
      </c>
      <c r="D4869" t="str">
        <f t="shared" si="173"/>
        <v>576964</v>
      </c>
      <c r="E4869" t="s">
        <v>5009</v>
      </c>
      <c r="F4869" t="s">
        <v>11</v>
      </c>
    </row>
    <row r="4870" spans="1:6" x14ac:dyDescent="0.25">
      <c r="A4870" t="str">
        <f>"15043070"</f>
        <v>15043070</v>
      </c>
      <c r="B4870" t="s">
        <v>5122</v>
      </c>
      <c r="C4870" t="s">
        <v>20</v>
      </c>
      <c r="D4870" t="str">
        <f t="shared" si="173"/>
        <v>576964</v>
      </c>
      <c r="E4870" t="s">
        <v>5009</v>
      </c>
      <c r="F4870" t="s">
        <v>21</v>
      </c>
    </row>
    <row r="4871" spans="1:6" x14ac:dyDescent="0.25">
      <c r="A4871" t="str">
        <f>"09873066"</f>
        <v>09873066</v>
      </c>
      <c r="B4871" t="s">
        <v>5123</v>
      </c>
      <c r="C4871" t="s">
        <v>20</v>
      </c>
      <c r="D4871" t="str">
        <f t="shared" si="173"/>
        <v>576964</v>
      </c>
      <c r="E4871" t="s">
        <v>5009</v>
      </c>
      <c r="F4871" t="s">
        <v>21</v>
      </c>
    </row>
    <row r="4872" spans="1:6" x14ac:dyDescent="0.25">
      <c r="A4872" t="str">
        <f>"65734548"</f>
        <v>65734548</v>
      </c>
      <c r="B4872" t="s">
        <v>5124</v>
      </c>
      <c r="C4872" t="s">
        <v>20</v>
      </c>
      <c r="D4872" t="str">
        <f t="shared" si="173"/>
        <v>576964</v>
      </c>
      <c r="E4872" t="s">
        <v>5009</v>
      </c>
      <c r="F4872" t="s">
        <v>21</v>
      </c>
    </row>
    <row r="4873" spans="1:6" x14ac:dyDescent="0.25">
      <c r="A4873" t="str">
        <f>"15045501"</f>
        <v>15045501</v>
      </c>
      <c r="B4873" t="s">
        <v>5125</v>
      </c>
      <c r="C4873" t="s">
        <v>20</v>
      </c>
      <c r="D4873" t="str">
        <f t="shared" si="173"/>
        <v>576964</v>
      </c>
      <c r="E4873" t="s">
        <v>5009</v>
      </c>
      <c r="F4873" t="s">
        <v>21</v>
      </c>
    </row>
    <row r="4874" spans="1:6" x14ac:dyDescent="0.25">
      <c r="A4874" t="str">
        <f>"71167021"</f>
        <v>71167021</v>
      </c>
      <c r="B4874" t="s">
        <v>5126</v>
      </c>
      <c r="C4874" t="s">
        <v>20</v>
      </c>
      <c r="D4874" t="str">
        <f t="shared" si="173"/>
        <v>576964</v>
      </c>
      <c r="E4874" t="s">
        <v>5009</v>
      </c>
      <c r="F4874" t="s">
        <v>21</v>
      </c>
    </row>
    <row r="4875" spans="1:6" x14ac:dyDescent="0.25">
      <c r="A4875" t="str">
        <f>"23043121"</f>
        <v>23043121</v>
      </c>
      <c r="B4875" t="s">
        <v>5127</v>
      </c>
      <c r="C4875" t="s">
        <v>20</v>
      </c>
      <c r="D4875" t="str">
        <f t="shared" si="173"/>
        <v>576964</v>
      </c>
      <c r="E4875" t="s">
        <v>5009</v>
      </c>
      <c r="F4875" t="s">
        <v>21</v>
      </c>
    </row>
    <row r="4876" spans="1:6" x14ac:dyDescent="0.25">
      <c r="A4876" t="str">
        <f>"22733817"</f>
        <v>22733817</v>
      </c>
      <c r="B4876" t="s">
        <v>5128</v>
      </c>
      <c r="C4876" t="s">
        <v>7</v>
      </c>
      <c r="D4876" t="str">
        <f t="shared" si="173"/>
        <v>576964</v>
      </c>
      <c r="E4876" t="s">
        <v>5009</v>
      </c>
      <c r="F4876" t="s">
        <v>11</v>
      </c>
    </row>
    <row r="4877" spans="1:6" x14ac:dyDescent="0.25">
      <c r="A4877" t="str">
        <f>"27008703"</f>
        <v>27008703</v>
      </c>
      <c r="B4877" t="s">
        <v>5129</v>
      </c>
      <c r="C4877" t="s">
        <v>7</v>
      </c>
      <c r="D4877" t="str">
        <f t="shared" ref="D4877:D4902" si="174">"562025"</f>
        <v>562025</v>
      </c>
      <c r="E4877" t="s">
        <v>5130</v>
      </c>
      <c r="F4877" t="s">
        <v>29</v>
      </c>
    </row>
    <row r="4878" spans="1:6" x14ac:dyDescent="0.25">
      <c r="A4878" t="str">
        <f>"22707701"</f>
        <v>22707701</v>
      </c>
      <c r="B4878" t="s">
        <v>5131</v>
      </c>
      <c r="C4878" t="s">
        <v>7</v>
      </c>
      <c r="D4878" t="str">
        <f t="shared" si="174"/>
        <v>562025</v>
      </c>
      <c r="E4878" t="s">
        <v>5130</v>
      </c>
      <c r="F4878" t="s">
        <v>29</v>
      </c>
    </row>
    <row r="4879" spans="1:6" x14ac:dyDescent="0.25">
      <c r="A4879" t="str">
        <f>"65082737"</f>
        <v>65082737</v>
      </c>
      <c r="B4879" t="s">
        <v>5132</v>
      </c>
      <c r="C4879" t="s">
        <v>15</v>
      </c>
      <c r="D4879" t="str">
        <f t="shared" si="174"/>
        <v>562025</v>
      </c>
      <c r="E4879" t="s">
        <v>5130</v>
      </c>
      <c r="F4879" t="s">
        <v>62</v>
      </c>
    </row>
    <row r="4880" spans="1:6" x14ac:dyDescent="0.25">
      <c r="A4880" t="str">
        <f>"65650379"</f>
        <v>65650379</v>
      </c>
      <c r="B4880" t="s">
        <v>5133</v>
      </c>
      <c r="C4880" t="s">
        <v>7</v>
      </c>
      <c r="D4880" t="str">
        <f t="shared" si="174"/>
        <v>562025</v>
      </c>
      <c r="E4880" t="s">
        <v>5130</v>
      </c>
      <c r="F4880" t="s">
        <v>65</v>
      </c>
    </row>
    <row r="4881" spans="1:6" x14ac:dyDescent="0.25">
      <c r="A4881" t="str">
        <f>"06004024"</f>
        <v>06004024</v>
      </c>
      <c r="B4881" t="s">
        <v>5134</v>
      </c>
      <c r="C4881" t="s">
        <v>7</v>
      </c>
      <c r="D4881" t="str">
        <f t="shared" si="174"/>
        <v>562025</v>
      </c>
      <c r="E4881" t="s">
        <v>5130</v>
      </c>
      <c r="F4881" t="s">
        <v>11</v>
      </c>
    </row>
    <row r="4882" spans="1:6" x14ac:dyDescent="0.25">
      <c r="A4882" t="str">
        <f>"71157379"</f>
        <v>71157379</v>
      </c>
      <c r="B4882" t="s">
        <v>5135</v>
      </c>
      <c r="C4882" t="s">
        <v>37</v>
      </c>
      <c r="D4882" t="str">
        <f t="shared" si="174"/>
        <v>562025</v>
      </c>
      <c r="E4882" t="s">
        <v>5130</v>
      </c>
      <c r="F4882" t="s">
        <v>38</v>
      </c>
    </row>
    <row r="4883" spans="1:6" x14ac:dyDescent="0.25">
      <c r="A4883" t="str">
        <f>"63778335"</f>
        <v>63778335</v>
      </c>
      <c r="B4883" t="s">
        <v>5136</v>
      </c>
      <c r="C4883" t="s">
        <v>7</v>
      </c>
      <c r="D4883" t="str">
        <f t="shared" si="174"/>
        <v>562025</v>
      </c>
      <c r="E4883" t="s">
        <v>5130</v>
      </c>
      <c r="F4883" t="s">
        <v>35</v>
      </c>
    </row>
    <row r="4884" spans="1:6" x14ac:dyDescent="0.25">
      <c r="A4884" t="str">
        <f>"26584085"</f>
        <v>26584085</v>
      </c>
      <c r="B4884" t="s">
        <v>5137</v>
      </c>
      <c r="C4884" t="s">
        <v>7</v>
      </c>
      <c r="D4884" t="str">
        <f t="shared" si="174"/>
        <v>562025</v>
      </c>
      <c r="E4884" t="s">
        <v>5130</v>
      </c>
      <c r="F4884" t="s">
        <v>9</v>
      </c>
    </row>
    <row r="4885" spans="1:6" x14ac:dyDescent="0.25">
      <c r="A4885" t="str">
        <f>"21719781"</f>
        <v>21719781</v>
      </c>
      <c r="B4885" t="s">
        <v>5138</v>
      </c>
      <c r="C4885" t="s">
        <v>7</v>
      </c>
      <c r="D4885" t="str">
        <f t="shared" si="174"/>
        <v>562025</v>
      </c>
      <c r="E4885" t="s">
        <v>5130</v>
      </c>
      <c r="F4885" t="s">
        <v>29</v>
      </c>
    </row>
    <row r="4886" spans="1:6" x14ac:dyDescent="0.25">
      <c r="A4886" t="str">
        <f>"04355130"</f>
        <v>04355130</v>
      </c>
      <c r="B4886" t="s">
        <v>5139</v>
      </c>
      <c r="C4886" t="s">
        <v>7</v>
      </c>
      <c r="D4886" t="str">
        <f t="shared" si="174"/>
        <v>562025</v>
      </c>
      <c r="E4886" t="s">
        <v>5130</v>
      </c>
      <c r="F4886" t="s">
        <v>13</v>
      </c>
    </row>
    <row r="4887" spans="1:6" x14ac:dyDescent="0.25">
      <c r="A4887" t="str">
        <f>"22907271"</f>
        <v>22907271</v>
      </c>
      <c r="B4887" t="s">
        <v>5140</v>
      </c>
      <c r="C4887" t="s">
        <v>7</v>
      </c>
      <c r="D4887" t="str">
        <f t="shared" si="174"/>
        <v>562025</v>
      </c>
      <c r="E4887" t="s">
        <v>5130</v>
      </c>
      <c r="F4887" t="s">
        <v>11</v>
      </c>
    </row>
    <row r="4888" spans="1:6" x14ac:dyDescent="0.25">
      <c r="A4888" t="str">
        <f>"26657112"</f>
        <v>26657112</v>
      </c>
      <c r="B4888" t="s">
        <v>5141</v>
      </c>
      <c r="C4888" t="s">
        <v>7</v>
      </c>
      <c r="D4888" t="str">
        <f t="shared" si="174"/>
        <v>562025</v>
      </c>
      <c r="E4888" t="s">
        <v>5130</v>
      </c>
      <c r="F4888" t="s">
        <v>11</v>
      </c>
    </row>
    <row r="4889" spans="1:6" x14ac:dyDescent="0.25">
      <c r="A4889" t="str">
        <f>"01318659"</f>
        <v>01318659</v>
      </c>
      <c r="B4889" t="s">
        <v>5142</v>
      </c>
      <c r="C4889" t="s">
        <v>7</v>
      </c>
      <c r="D4889" t="str">
        <f t="shared" si="174"/>
        <v>562025</v>
      </c>
      <c r="E4889" t="s">
        <v>5130</v>
      </c>
      <c r="F4889" t="s">
        <v>38</v>
      </c>
    </row>
    <row r="4890" spans="1:6" x14ac:dyDescent="0.25">
      <c r="A4890" t="str">
        <f>"26621347"</f>
        <v>26621347</v>
      </c>
      <c r="B4890" t="s">
        <v>5143</v>
      </c>
      <c r="C4890" t="s">
        <v>7</v>
      </c>
      <c r="D4890" t="str">
        <f t="shared" si="174"/>
        <v>562025</v>
      </c>
      <c r="E4890" t="s">
        <v>5130</v>
      </c>
      <c r="F4890" t="s">
        <v>38</v>
      </c>
    </row>
    <row r="4891" spans="1:6" x14ac:dyDescent="0.25">
      <c r="A4891" t="str">
        <f>"01382713"</f>
        <v>01382713</v>
      </c>
      <c r="B4891" t="s">
        <v>5144</v>
      </c>
      <c r="C4891" t="s">
        <v>124</v>
      </c>
      <c r="D4891" t="str">
        <f t="shared" si="174"/>
        <v>562025</v>
      </c>
      <c r="E4891" t="s">
        <v>5130</v>
      </c>
      <c r="F4891" t="s">
        <v>13</v>
      </c>
    </row>
    <row r="4892" spans="1:6" x14ac:dyDescent="0.25">
      <c r="A4892" t="str">
        <f>"26631181"</f>
        <v>26631181</v>
      </c>
      <c r="B4892" t="s">
        <v>5145</v>
      </c>
      <c r="C4892" t="s">
        <v>7</v>
      </c>
      <c r="D4892" t="str">
        <f t="shared" si="174"/>
        <v>562025</v>
      </c>
      <c r="E4892" t="s">
        <v>5130</v>
      </c>
      <c r="F4892" t="s">
        <v>11</v>
      </c>
    </row>
    <row r="4893" spans="1:6" x14ac:dyDescent="0.25">
      <c r="A4893" t="str">
        <f>"08629943"</f>
        <v>08629943</v>
      </c>
      <c r="B4893" t="s">
        <v>5146</v>
      </c>
      <c r="C4893" t="s">
        <v>7</v>
      </c>
      <c r="D4893" t="str">
        <f t="shared" si="174"/>
        <v>562025</v>
      </c>
      <c r="E4893" t="s">
        <v>5130</v>
      </c>
      <c r="F4893" t="s">
        <v>18</v>
      </c>
    </row>
    <row r="4894" spans="1:6" x14ac:dyDescent="0.25">
      <c r="A4894" t="str">
        <f>"44223722"</f>
        <v>44223722</v>
      </c>
      <c r="B4894" t="s">
        <v>5147</v>
      </c>
      <c r="C4894" t="s">
        <v>7</v>
      </c>
      <c r="D4894" t="str">
        <f t="shared" si="174"/>
        <v>562025</v>
      </c>
      <c r="E4894" t="s">
        <v>5130</v>
      </c>
      <c r="F4894" t="s">
        <v>11</v>
      </c>
    </row>
    <row r="4895" spans="1:6" x14ac:dyDescent="0.25">
      <c r="A4895" t="str">
        <f>"05505631"</f>
        <v>05505631</v>
      </c>
      <c r="B4895" t="s">
        <v>5148</v>
      </c>
      <c r="C4895" t="s">
        <v>7</v>
      </c>
      <c r="D4895" t="str">
        <f t="shared" si="174"/>
        <v>562025</v>
      </c>
      <c r="E4895" t="s">
        <v>5130</v>
      </c>
      <c r="F4895" t="s">
        <v>29</v>
      </c>
    </row>
    <row r="4896" spans="1:6" x14ac:dyDescent="0.25">
      <c r="A4896" t="str">
        <f>"68429258"</f>
        <v>68429258</v>
      </c>
      <c r="B4896" t="s">
        <v>5149</v>
      </c>
      <c r="C4896" t="s">
        <v>7</v>
      </c>
      <c r="D4896" t="str">
        <f t="shared" si="174"/>
        <v>562025</v>
      </c>
      <c r="E4896" t="s">
        <v>5130</v>
      </c>
      <c r="F4896" t="s">
        <v>11</v>
      </c>
    </row>
    <row r="4897" spans="1:6" x14ac:dyDescent="0.25">
      <c r="A4897" t="str">
        <f>"63778963"</f>
        <v>63778963</v>
      </c>
      <c r="B4897" t="s">
        <v>5150</v>
      </c>
      <c r="C4897" t="s">
        <v>15</v>
      </c>
      <c r="D4897" t="str">
        <f t="shared" si="174"/>
        <v>562025</v>
      </c>
      <c r="E4897" t="s">
        <v>5130</v>
      </c>
      <c r="F4897" t="s">
        <v>16</v>
      </c>
    </row>
    <row r="4898" spans="1:6" x14ac:dyDescent="0.25">
      <c r="A4898" t="str">
        <f>"48282278"</f>
        <v>48282278</v>
      </c>
      <c r="B4898" t="s">
        <v>5151</v>
      </c>
      <c r="C4898" t="s">
        <v>7</v>
      </c>
      <c r="D4898" t="str">
        <f t="shared" si="174"/>
        <v>562025</v>
      </c>
      <c r="E4898" t="s">
        <v>5130</v>
      </c>
      <c r="F4898" t="s">
        <v>9</v>
      </c>
    </row>
    <row r="4899" spans="1:6" x14ac:dyDescent="0.25">
      <c r="A4899" t="str">
        <f>"17705762"</f>
        <v>17705762</v>
      </c>
      <c r="B4899" t="s">
        <v>5152</v>
      </c>
      <c r="C4899" t="s">
        <v>7</v>
      </c>
      <c r="D4899" t="str">
        <f t="shared" si="174"/>
        <v>562025</v>
      </c>
      <c r="E4899" t="s">
        <v>5130</v>
      </c>
      <c r="F4899" t="s">
        <v>11</v>
      </c>
    </row>
    <row r="4900" spans="1:6" x14ac:dyDescent="0.25">
      <c r="A4900" t="str">
        <f>"08207011"</f>
        <v>08207011</v>
      </c>
      <c r="B4900" t="s">
        <v>5153</v>
      </c>
      <c r="C4900" t="s">
        <v>7</v>
      </c>
      <c r="D4900" t="str">
        <f t="shared" si="174"/>
        <v>562025</v>
      </c>
      <c r="E4900" t="s">
        <v>5130</v>
      </c>
      <c r="F4900" t="s">
        <v>13</v>
      </c>
    </row>
    <row r="4901" spans="1:6" x14ac:dyDescent="0.25">
      <c r="A4901" t="str">
        <f>"02296462"</f>
        <v>02296462</v>
      </c>
      <c r="B4901" t="s">
        <v>5154</v>
      </c>
      <c r="C4901" t="s">
        <v>7</v>
      </c>
      <c r="D4901" t="str">
        <f t="shared" si="174"/>
        <v>562025</v>
      </c>
      <c r="E4901" t="s">
        <v>5130</v>
      </c>
      <c r="F4901" t="s">
        <v>11</v>
      </c>
    </row>
    <row r="4902" spans="1:6" x14ac:dyDescent="0.25">
      <c r="A4902" t="str">
        <f>"22239511"</f>
        <v>22239511</v>
      </c>
      <c r="B4902" t="s">
        <v>5155</v>
      </c>
      <c r="C4902" t="s">
        <v>7</v>
      </c>
      <c r="D4902" t="str">
        <f t="shared" si="174"/>
        <v>562025</v>
      </c>
      <c r="E4902" t="s">
        <v>5130</v>
      </c>
      <c r="F4902" t="s">
        <v>11</v>
      </c>
    </row>
    <row r="4903" spans="1:6" x14ac:dyDescent="0.25">
      <c r="A4903" t="str">
        <f>"22850392"</f>
        <v>22850392</v>
      </c>
      <c r="B4903" t="s">
        <v>5156</v>
      </c>
      <c r="C4903" t="s">
        <v>7</v>
      </c>
      <c r="D4903" t="str">
        <f>"513890"</f>
        <v>513890</v>
      </c>
      <c r="E4903" t="s">
        <v>5157</v>
      </c>
      <c r="F4903" t="s">
        <v>11</v>
      </c>
    </row>
    <row r="4904" spans="1:6" x14ac:dyDescent="0.25">
      <c r="A4904" t="str">
        <f>"22886001"</f>
        <v>22886001</v>
      </c>
      <c r="B4904" t="s">
        <v>5158</v>
      </c>
      <c r="C4904" t="s">
        <v>7</v>
      </c>
      <c r="D4904" t="str">
        <f>"513890"</f>
        <v>513890</v>
      </c>
      <c r="E4904" t="s">
        <v>5157</v>
      </c>
      <c r="F4904" t="s">
        <v>18</v>
      </c>
    </row>
    <row r="4905" spans="1:6" x14ac:dyDescent="0.25">
      <c r="A4905" t="str">
        <f>"21125252"</f>
        <v>21125252</v>
      </c>
      <c r="B4905" t="s">
        <v>5159</v>
      </c>
      <c r="C4905" t="s">
        <v>7</v>
      </c>
      <c r="D4905" t="str">
        <f>"513890"</f>
        <v>513890</v>
      </c>
      <c r="E4905" t="s">
        <v>5157</v>
      </c>
      <c r="F4905" t="s">
        <v>18</v>
      </c>
    </row>
    <row r="4906" spans="1:6" x14ac:dyDescent="0.25">
      <c r="A4906" t="str">
        <f>"22709142"</f>
        <v>22709142</v>
      </c>
      <c r="B4906" t="s">
        <v>5160</v>
      </c>
      <c r="C4906" t="s">
        <v>7</v>
      </c>
      <c r="D4906" t="str">
        <f>"513890"</f>
        <v>513890</v>
      </c>
      <c r="E4906" t="s">
        <v>5157</v>
      </c>
      <c r="F4906" t="s">
        <v>11</v>
      </c>
    </row>
    <row r="4907" spans="1:6" x14ac:dyDescent="0.25">
      <c r="A4907" t="str">
        <f>"04968051"</f>
        <v>04968051</v>
      </c>
      <c r="B4907" t="s">
        <v>5161</v>
      </c>
      <c r="C4907" t="s">
        <v>7</v>
      </c>
      <c r="D4907" t="str">
        <f t="shared" ref="D4907:D4917" si="175">"563803"</f>
        <v>563803</v>
      </c>
      <c r="E4907" t="s">
        <v>5162</v>
      </c>
      <c r="F4907" t="s">
        <v>11</v>
      </c>
    </row>
    <row r="4908" spans="1:6" x14ac:dyDescent="0.25">
      <c r="A4908" t="str">
        <f>"64668592"</f>
        <v>64668592</v>
      </c>
      <c r="B4908" t="s">
        <v>5163</v>
      </c>
      <c r="C4908" t="s">
        <v>7</v>
      </c>
      <c r="D4908" t="str">
        <f t="shared" si="175"/>
        <v>563803</v>
      </c>
      <c r="E4908" t="s">
        <v>5162</v>
      </c>
      <c r="F4908" t="s">
        <v>139</v>
      </c>
    </row>
    <row r="4909" spans="1:6" x14ac:dyDescent="0.25">
      <c r="A4909" t="str">
        <f>"64668223"</f>
        <v>64668223</v>
      </c>
      <c r="B4909" t="s">
        <v>5164</v>
      </c>
      <c r="C4909" t="s">
        <v>15</v>
      </c>
      <c r="D4909" t="str">
        <f t="shared" si="175"/>
        <v>563803</v>
      </c>
      <c r="E4909" t="s">
        <v>5162</v>
      </c>
      <c r="F4909" t="s">
        <v>16</v>
      </c>
    </row>
    <row r="4910" spans="1:6" x14ac:dyDescent="0.25">
      <c r="A4910" t="str">
        <f>"60254963"</f>
        <v>60254963</v>
      </c>
      <c r="B4910" t="s">
        <v>5165</v>
      </c>
      <c r="C4910" t="s">
        <v>15</v>
      </c>
      <c r="D4910" t="str">
        <f t="shared" si="175"/>
        <v>563803</v>
      </c>
      <c r="E4910" t="s">
        <v>5162</v>
      </c>
      <c r="F4910" t="s">
        <v>16</v>
      </c>
    </row>
    <row r="4911" spans="1:6" x14ac:dyDescent="0.25">
      <c r="A4911" t="str">
        <f>"07481616"</f>
        <v>07481616</v>
      </c>
      <c r="B4911" t="s">
        <v>5166</v>
      </c>
      <c r="C4911" t="s">
        <v>7</v>
      </c>
      <c r="D4911" t="str">
        <f t="shared" si="175"/>
        <v>563803</v>
      </c>
      <c r="E4911" t="s">
        <v>5162</v>
      </c>
      <c r="F4911" t="s">
        <v>29</v>
      </c>
    </row>
    <row r="4912" spans="1:6" x14ac:dyDescent="0.25">
      <c r="A4912" t="str">
        <f>"07646305"</f>
        <v>07646305</v>
      </c>
      <c r="B4912" t="s">
        <v>5167</v>
      </c>
      <c r="C4912" t="s">
        <v>7</v>
      </c>
      <c r="D4912" t="str">
        <f t="shared" si="175"/>
        <v>563803</v>
      </c>
      <c r="E4912" t="s">
        <v>5162</v>
      </c>
      <c r="F4912" t="s">
        <v>11</v>
      </c>
    </row>
    <row r="4913" spans="1:6" x14ac:dyDescent="0.25">
      <c r="A4913" t="str">
        <f>"60253461"</f>
        <v>60253461</v>
      </c>
      <c r="B4913" t="s">
        <v>5168</v>
      </c>
      <c r="C4913" t="s">
        <v>7</v>
      </c>
      <c r="D4913" t="str">
        <f t="shared" si="175"/>
        <v>563803</v>
      </c>
      <c r="E4913" t="s">
        <v>5162</v>
      </c>
      <c r="F4913" t="s">
        <v>9</v>
      </c>
    </row>
    <row r="4914" spans="1:6" x14ac:dyDescent="0.25">
      <c r="A4914" t="str">
        <f>"60252111"</f>
        <v>60252111</v>
      </c>
      <c r="B4914" t="s">
        <v>5169</v>
      </c>
      <c r="C4914" t="s">
        <v>15</v>
      </c>
      <c r="D4914" t="str">
        <f t="shared" si="175"/>
        <v>563803</v>
      </c>
      <c r="E4914" t="s">
        <v>5162</v>
      </c>
      <c r="F4914" t="s">
        <v>9</v>
      </c>
    </row>
    <row r="4915" spans="1:6" x14ac:dyDescent="0.25">
      <c r="A4915" t="str">
        <f>"66112931"</f>
        <v>66112931</v>
      </c>
      <c r="B4915" t="s">
        <v>5170</v>
      </c>
      <c r="C4915" t="s">
        <v>15</v>
      </c>
      <c r="D4915" t="str">
        <f t="shared" si="175"/>
        <v>563803</v>
      </c>
      <c r="E4915" t="s">
        <v>5162</v>
      </c>
      <c r="F4915" t="s">
        <v>65</v>
      </c>
    </row>
    <row r="4916" spans="1:6" x14ac:dyDescent="0.25">
      <c r="A4916" t="str">
        <f>"40231062"</f>
        <v>40231062</v>
      </c>
      <c r="B4916" t="s">
        <v>5171</v>
      </c>
      <c r="C4916" t="s">
        <v>7</v>
      </c>
      <c r="D4916" t="str">
        <f t="shared" si="175"/>
        <v>563803</v>
      </c>
      <c r="E4916" t="s">
        <v>5162</v>
      </c>
      <c r="F4916" t="s">
        <v>9</v>
      </c>
    </row>
    <row r="4917" spans="1:6" x14ac:dyDescent="0.25">
      <c r="A4917" t="str">
        <f>"27000532"</f>
        <v>27000532</v>
      </c>
      <c r="B4917" t="s">
        <v>5172</v>
      </c>
      <c r="C4917" t="s">
        <v>7</v>
      </c>
      <c r="D4917" t="str">
        <f t="shared" si="175"/>
        <v>563803</v>
      </c>
      <c r="E4917" t="s">
        <v>5162</v>
      </c>
      <c r="F4917" t="s">
        <v>11</v>
      </c>
    </row>
    <row r="4918" spans="1:6" x14ac:dyDescent="0.25">
      <c r="A4918" t="str">
        <f>"70583030"</f>
        <v>70583030</v>
      </c>
      <c r="B4918" t="s">
        <v>5173</v>
      </c>
      <c r="C4918" t="s">
        <v>7</v>
      </c>
      <c r="D4918" t="str">
        <f t="shared" ref="D4918:D4926" si="176">"577529"</f>
        <v>577529</v>
      </c>
      <c r="E4918" t="s">
        <v>5174</v>
      </c>
      <c r="F4918" t="s">
        <v>328</v>
      </c>
    </row>
    <row r="4919" spans="1:6" x14ac:dyDescent="0.25">
      <c r="A4919" t="str">
        <f>"15045234"</f>
        <v>15045234</v>
      </c>
      <c r="B4919" t="s">
        <v>5175</v>
      </c>
      <c r="C4919" t="s">
        <v>7</v>
      </c>
      <c r="D4919" t="str">
        <f t="shared" si="176"/>
        <v>577529</v>
      </c>
      <c r="E4919" t="s">
        <v>5174</v>
      </c>
      <c r="F4919" t="s">
        <v>35</v>
      </c>
    </row>
    <row r="4920" spans="1:6" x14ac:dyDescent="0.25">
      <c r="A4920" t="str">
        <f>"45599092"</f>
        <v>45599092</v>
      </c>
      <c r="B4920" t="s">
        <v>5176</v>
      </c>
      <c r="C4920" t="s">
        <v>37</v>
      </c>
      <c r="D4920" t="str">
        <f t="shared" si="176"/>
        <v>577529</v>
      </c>
      <c r="E4920" t="s">
        <v>5174</v>
      </c>
      <c r="F4920" t="s">
        <v>38</v>
      </c>
    </row>
    <row r="4921" spans="1:6" x14ac:dyDescent="0.25">
      <c r="A4921" t="str">
        <f>"07767722"</f>
        <v>07767722</v>
      </c>
      <c r="B4921" t="s">
        <v>5177</v>
      </c>
      <c r="C4921" t="s">
        <v>7</v>
      </c>
      <c r="D4921" t="str">
        <f t="shared" si="176"/>
        <v>577529</v>
      </c>
      <c r="E4921" t="s">
        <v>5174</v>
      </c>
      <c r="F4921" t="s">
        <v>11</v>
      </c>
    </row>
    <row r="4922" spans="1:6" x14ac:dyDescent="0.25">
      <c r="A4922" t="str">
        <f>"45598428"</f>
        <v>45598428</v>
      </c>
      <c r="B4922" t="s">
        <v>5178</v>
      </c>
      <c r="C4922" t="s">
        <v>7</v>
      </c>
      <c r="D4922" t="str">
        <f t="shared" si="176"/>
        <v>577529</v>
      </c>
      <c r="E4922" t="s">
        <v>5174</v>
      </c>
      <c r="F4922" t="s">
        <v>38</v>
      </c>
    </row>
    <row r="4923" spans="1:6" x14ac:dyDescent="0.25">
      <c r="A4923" t="str">
        <f>"09525271"</f>
        <v>09525271</v>
      </c>
      <c r="B4923" t="s">
        <v>5179</v>
      </c>
      <c r="C4923" t="s">
        <v>7</v>
      </c>
      <c r="D4923" t="str">
        <f t="shared" si="176"/>
        <v>577529</v>
      </c>
      <c r="E4923" t="s">
        <v>5174</v>
      </c>
      <c r="F4923" t="s">
        <v>13</v>
      </c>
    </row>
    <row r="4924" spans="1:6" x14ac:dyDescent="0.25">
      <c r="A4924" t="str">
        <f>"62014196"</f>
        <v>62014196</v>
      </c>
      <c r="B4924" t="s">
        <v>5180</v>
      </c>
      <c r="C4924" t="s">
        <v>15</v>
      </c>
      <c r="D4924" t="str">
        <f t="shared" si="176"/>
        <v>577529</v>
      </c>
      <c r="E4924" t="s">
        <v>5174</v>
      </c>
      <c r="F4924" t="s">
        <v>16</v>
      </c>
    </row>
    <row r="4925" spans="1:6" x14ac:dyDescent="0.25">
      <c r="A4925" t="str">
        <f>"62013955"</f>
        <v>62013955</v>
      </c>
      <c r="B4925" t="s">
        <v>5181</v>
      </c>
      <c r="C4925" t="s">
        <v>15</v>
      </c>
      <c r="D4925" t="str">
        <f t="shared" si="176"/>
        <v>577529</v>
      </c>
      <c r="E4925" t="s">
        <v>5174</v>
      </c>
      <c r="F4925" t="s">
        <v>16</v>
      </c>
    </row>
    <row r="4926" spans="1:6" x14ac:dyDescent="0.25">
      <c r="A4926" t="str">
        <f>"70155739"</f>
        <v>70155739</v>
      </c>
      <c r="B4926" t="s">
        <v>5182</v>
      </c>
      <c r="C4926" t="s">
        <v>7</v>
      </c>
      <c r="D4926" t="str">
        <f t="shared" si="176"/>
        <v>577529</v>
      </c>
      <c r="E4926" t="s">
        <v>5174</v>
      </c>
      <c r="F4926" t="s">
        <v>65</v>
      </c>
    </row>
    <row r="4927" spans="1:6" x14ac:dyDescent="0.25">
      <c r="A4927" t="str">
        <f>"19754566"</f>
        <v>19754566</v>
      </c>
      <c r="B4927" t="s">
        <v>5183</v>
      </c>
      <c r="C4927" t="s">
        <v>7</v>
      </c>
      <c r="D4927" t="str">
        <f t="shared" ref="D4927:D4940" si="177">"562050"</f>
        <v>562050</v>
      </c>
      <c r="E4927" t="s">
        <v>5184</v>
      </c>
      <c r="F4927" t="s">
        <v>5185</v>
      </c>
    </row>
    <row r="4928" spans="1:6" x14ac:dyDescent="0.25">
      <c r="A4928" t="str">
        <f>"02118947"</f>
        <v>02118947</v>
      </c>
      <c r="B4928" t="s">
        <v>5186</v>
      </c>
      <c r="C4928" t="s">
        <v>7</v>
      </c>
      <c r="D4928" t="str">
        <f t="shared" si="177"/>
        <v>562050</v>
      </c>
      <c r="E4928" t="s">
        <v>5184</v>
      </c>
      <c r="F4928" t="s">
        <v>11</v>
      </c>
    </row>
    <row r="4929" spans="1:6" x14ac:dyDescent="0.25">
      <c r="A4929" t="str">
        <f>"22717366"</f>
        <v>22717366</v>
      </c>
      <c r="B4929" t="s">
        <v>5187</v>
      </c>
      <c r="C4929" t="s">
        <v>7</v>
      </c>
      <c r="D4929" t="str">
        <f t="shared" si="177"/>
        <v>562050</v>
      </c>
      <c r="E4929" t="s">
        <v>5184</v>
      </c>
      <c r="F4929" t="s">
        <v>11</v>
      </c>
    </row>
    <row r="4930" spans="1:6" x14ac:dyDescent="0.25">
      <c r="A4930" t="str">
        <f>"48282448"</f>
        <v>48282448</v>
      </c>
      <c r="B4930" t="s">
        <v>5188</v>
      </c>
      <c r="C4930" t="s">
        <v>7</v>
      </c>
      <c r="D4930" t="str">
        <f t="shared" si="177"/>
        <v>562050</v>
      </c>
      <c r="E4930" t="s">
        <v>5184</v>
      </c>
      <c r="F4930" t="s">
        <v>38</v>
      </c>
    </row>
    <row r="4931" spans="1:6" x14ac:dyDescent="0.25">
      <c r="A4931" t="str">
        <f>"66111536"</f>
        <v>66111536</v>
      </c>
      <c r="B4931" t="s">
        <v>5189</v>
      </c>
      <c r="C4931" t="s">
        <v>7</v>
      </c>
      <c r="D4931" t="str">
        <f t="shared" si="177"/>
        <v>562050</v>
      </c>
      <c r="E4931" t="s">
        <v>5184</v>
      </c>
      <c r="F4931" t="s">
        <v>11</v>
      </c>
    </row>
    <row r="4932" spans="1:6" x14ac:dyDescent="0.25">
      <c r="A4932" t="str">
        <f>"01877577"</f>
        <v>01877577</v>
      </c>
      <c r="B4932" t="s">
        <v>5190</v>
      </c>
      <c r="C4932" t="s">
        <v>7</v>
      </c>
      <c r="D4932" t="str">
        <f t="shared" si="177"/>
        <v>562050</v>
      </c>
      <c r="E4932" t="s">
        <v>5184</v>
      </c>
      <c r="F4932" t="s">
        <v>11</v>
      </c>
    </row>
    <row r="4933" spans="1:6" x14ac:dyDescent="0.25">
      <c r="A4933" t="str">
        <f>"69411581"</f>
        <v>69411581</v>
      </c>
      <c r="B4933" t="s">
        <v>5191</v>
      </c>
      <c r="C4933" t="s">
        <v>7</v>
      </c>
      <c r="D4933" t="str">
        <f t="shared" si="177"/>
        <v>562050</v>
      </c>
      <c r="E4933" t="s">
        <v>5184</v>
      </c>
      <c r="F4933" t="s">
        <v>11</v>
      </c>
    </row>
    <row r="4934" spans="1:6" x14ac:dyDescent="0.25">
      <c r="A4934" t="str">
        <f>"63778769"</f>
        <v>63778769</v>
      </c>
      <c r="B4934" t="s">
        <v>5192</v>
      </c>
      <c r="C4934" t="s">
        <v>15</v>
      </c>
      <c r="D4934" t="str">
        <f t="shared" si="177"/>
        <v>562050</v>
      </c>
      <c r="E4934" t="s">
        <v>5184</v>
      </c>
      <c r="F4934" t="s">
        <v>16</v>
      </c>
    </row>
    <row r="4935" spans="1:6" x14ac:dyDescent="0.25">
      <c r="A4935" t="str">
        <f>"09074562"</f>
        <v>09074562</v>
      </c>
      <c r="B4935" t="s">
        <v>5193</v>
      </c>
      <c r="C4935" t="s">
        <v>7</v>
      </c>
      <c r="D4935" t="str">
        <f t="shared" si="177"/>
        <v>562050</v>
      </c>
      <c r="E4935" t="s">
        <v>5184</v>
      </c>
      <c r="F4935" t="s">
        <v>11</v>
      </c>
    </row>
    <row r="4936" spans="1:6" x14ac:dyDescent="0.25">
      <c r="A4936" t="str">
        <f>"01302841"</f>
        <v>01302841</v>
      </c>
      <c r="B4936" t="s">
        <v>5194</v>
      </c>
      <c r="C4936" t="s">
        <v>7</v>
      </c>
      <c r="D4936" t="str">
        <f t="shared" si="177"/>
        <v>562050</v>
      </c>
      <c r="E4936" t="s">
        <v>5184</v>
      </c>
      <c r="F4936" t="s">
        <v>11</v>
      </c>
    </row>
    <row r="4937" spans="1:6" x14ac:dyDescent="0.25">
      <c r="A4937" t="str">
        <f>"22864075"</f>
        <v>22864075</v>
      </c>
      <c r="B4937" t="s">
        <v>5195</v>
      </c>
      <c r="C4937" t="s">
        <v>7</v>
      </c>
      <c r="D4937" t="str">
        <f t="shared" si="177"/>
        <v>562050</v>
      </c>
      <c r="E4937" t="s">
        <v>5184</v>
      </c>
      <c r="F4937" t="s">
        <v>11</v>
      </c>
    </row>
    <row r="4938" spans="1:6" x14ac:dyDescent="0.25">
      <c r="A4938" t="str">
        <f>"26555786"</f>
        <v>26555786</v>
      </c>
      <c r="B4938" t="s">
        <v>5196</v>
      </c>
      <c r="C4938" t="s">
        <v>7</v>
      </c>
      <c r="D4938" t="str">
        <f t="shared" si="177"/>
        <v>562050</v>
      </c>
      <c r="E4938" t="s">
        <v>5184</v>
      </c>
      <c r="F4938" t="s">
        <v>35</v>
      </c>
    </row>
    <row r="4939" spans="1:6" x14ac:dyDescent="0.25">
      <c r="A4939" t="str">
        <f>"48282391"</f>
        <v>48282391</v>
      </c>
      <c r="B4939" t="s">
        <v>5197</v>
      </c>
      <c r="C4939" t="s">
        <v>7</v>
      </c>
      <c r="D4939" t="str">
        <f t="shared" si="177"/>
        <v>562050</v>
      </c>
      <c r="E4939" t="s">
        <v>5184</v>
      </c>
      <c r="F4939" t="s">
        <v>65</v>
      </c>
    </row>
    <row r="4940" spans="1:6" x14ac:dyDescent="0.25">
      <c r="A4940" t="str">
        <f>"05714541"</f>
        <v>05714541</v>
      </c>
      <c r="B4940" t="s">
        <v>5198</v>
      </c>
      <c r="C4940" t="s">
        <v>7</v>
      </c>
      <c r="D4940" t="str">
        <f t="shared" si="177"/>
        <v>562050</v>
      </c>
      <c r="E4940" t="s">
        <v>5184</v>
      </c>
      <c r="F4940" t="s">
        <v>35</v>
      </c>
    </row>
    <row r="4941" spans="1:6" x14ac:dyDescent="0.25">
      <c r="A4941" t="str">
        <f>"62237446"</f>
        <v>62237446</v>
      </c>
      <c r="B4941" t="s">
        <v>5199</v>
      </c>
      <c r="C4941" t="s">
        <v>7</v>
      </c>
      <c r="D4941" t="str">
        <f>"546275"</f>
        <v>546275</v>
      </c>
      <c r="E4941" t="s">
        <v>5200</v>
      </c>
      <c r="F4941" t="s">
        <v>38</v>
      </c>
    </row>
    <row r="4942" spans="1:6" x14ac:dyDescent="0.25">
      <c r="A4942" t="str">
        <f>"01814362"</f>
        <v>01814362</v>
      </c>
      <c r="B4942" t="s">
        <v>5201</v>
      </c>
      <c r="C4942" t="s">
        <v>7</v>
      </c>
      <c r="D4942" t="str">
        <f>"546275"</f>
        <v>546275</v>
      </c>
      <c r="E4942" t="s">
        <v>5200</v>
      </c>
      <c r="F4942" t="s">
        <v>11</v>
      </c>
    </row>
    <row r="4943" spans="1:6" x14ac:dyDescent="0.25">
      <c r="A4943" t="str">
        <f>"65650221"</f>
        <v>65650221</v>
      </c>
      <c r="B4943" t="s">
        <v>5202</v>
      </c>
      <c r="C4943" t="s">
        <v>15</v>
      </c>
      <c r="D4943" t="str">
        <f>"546275"</f>
        <v>546275</v>
      </c>
      <c r="E4943" t="s">
        <v>5200</v>
      </c>
      <c r="F4943" t="s">
        <v>16</v>
      </c>
    </row>
    <row r="4944" spans="1:6" x14ac:dyDescent="0.25">
      <c r="A4944" t="str">
        <f>"22611070"</f>
        <v>22611070</v>
      </c>
      <c r="B4944" t="s">
        <v>5203</v>
      </c>
      <c r="C4944" t="s">
        <v>7</v>
      </c>
      <c r="D4944" t="str">
        <f t="shared" ref="D4944:D4987" si="178">"563811"</f>
        <v>563811</v>
      </c>
      <c r="E4944" t="s">
        <v>5204</v>
      </c>
      <c r="F4944" t="s">
        <v>139</v>
      </c>
    </row>
    <row r="4945" spans="1:6" x14ac:dyDescent="0.25">
      <c r="A4945" t="str">
        <f>"61389331"</f>
        <v>61389331</v>
      </c>
      <c r="B4945" t="s">
        <v>5205</v>
      </c>
      <c r="C4945" t="s">
        <v>7</v>
      </c>
      <c r="D4945" t="str">
        <f t="shared" si="178"/>
        <v>563811</v>
      </c>
      <c r="E4945" t="s">
        <v>5204</v>
      </c>
      <c r="F4945" t="s">
        <v>65</v>
      </c>
    </row>
    <row r="4946" spans="1:6" x14ac:dyDescent="0.25">
      <c r="A4946" t="str">
        <f>"70226695"</f>
        <v>70226695</v>
      </c>
      <c r="B4946" t="s">
        <v>5206</v>
      </c>
      <c r="C4946" t="s">
        <v>15</v>
      </c>
      <c r="D4946" t="str">
        <f t="shared" si="178"/>
        <v>563811</v>
      </c>
      <c r="E4946" t="s">
        <v>5204</v>
      </c>
      <c r="F4946" t="s">
        <v>11</v>
      </c>
    </row>
    <row r="4947" spans="1:6" x14ac:dyDescent="0.25">
      <c r="A4947" t="str">
        <f>"75114372"</f>
        <v>75114372</v>
      </c>
      <c r="B4947" t="s">
        <v>5207</v>
      </c>
      <c r="C4947" t="s">
        <v>15</v>
      </c>
      <c r="D4947" t="str">
        <f t="shared" si="178"/>
        <v>563811</v>
      </c>
      <c r="E4947" t="s">
        <v>5204</v>
      </c>
      <c r="F4947" t="s">
        <v>29</v>
      </c>
    </row>
    <row r="4948" spans="1:6" x14ac:dyDescent="0.25">
      <c r="A4948" t="str">
        <f>"02472155"</f>
        <v>02472155</v>
      </c>
      <c r="B4948" t="s">
        <v>5208</v>
      </c>
      <c r="C4948" t="s">
        <v>7</v>
      </c>
      <c r="D4948" t="str">
        <f t="shared" si="178"/>
        <v>563811</v>
      </c>
      <c r="E4948" t="s">
        <v>5204</v>
      </c>
      <c r="F4948" t="s">
        <v>11</v>
      </c>
    </row>
    <row r="4949" spans="1:6" x14ac:dyDescent="0.25">
      <c r="A4949" t="str">
        <f>"26601940"</f>
        <v>26601940</v>
      </c>
      <c r="B4949" t="s">
        <v>5209</v>
      </c>
      <c r="C4949" t="s">
        <v>7</v>
      </c>
      <c r="D4949" t="str">
        <f t="shared" si="178"/>
        <v>563811</v>
      </c>
      <c r="E4949" t="s">
        <v>5204</v>
      </c>
      <c r="F4949" t="s">
        <v>11</v>
      </c>
    </row>
    <row r="4950" spans="1:6" x14ac:dyDescent="0.25">
      <c r="A4950" t="str">
        <f>"09677381"</f>
        <v>09677381</v>
      </c>
      <c r="B4950" t="s">
        <v>5210</v>
      </c>
      <c r="C4950" t="s">
        <v>7</v>
      </c>
      <c r="D4950" t="str">
        <f t="shared" si="178"/>
        <v>563811</v>
      </c>
      <c r="E4950" t="s">
        <v>5204</v>
      </c>
      <c r="F4950" t="s">
        <v>328</v>
      </c>
    </row>
    <row r="4951" spans="1:6" x14ac:dyDescent="0.25">
      <c r="A4951" t="str">
        <f>"07200145"</f>
        <v>07200145</v>
      </c>
      <c r="B4951" t="s">
        <v>5211</v>
      </c>
      <c r="C4951" t="s">
        <v>7</v>
      </c>
      <c r="D4951" t="str">
        <f t="shared" si="178"/>
        <v>563811</v>
      </c>
      <c r="E4951" t="s">
        <v>5204</v>
      </c>
      <c r="F4951" t="s">
        <v>62</v>
      </c>
    </row>
    <row r="4952" spans="1:6" x14ac:dyDescent="0.25">
      <c r="A4952" t="str">
        <f>"01966375"</f>
        <v>01966375</v>
      </c>
      <c r="B4952" t="s">
        <v>5212</v>
      </c>
      <c r="C4952" t="s">
        <v>7</v>
      </c>
      <c r="D4952" t="str">
        <f t="shared" si="178"/>
        <v>563811</v>
      </c>
      <c r="E4952" t="s">
        <v>5204</v>
      </c>
      <c r="F4952" t="s">
        <v>11</v>
      </c>
    </row>
    <row r="4953" spans="1:6" x14ac:dyDescent="0.25">
      <c r="A4953" t="str">
        <f>"26611988"</f>
        <v>26611988</v>
      </c>
      <c r="B4953" t="s">
        <v>5213</v>
      </c>
      <c r="C4953" t="s">
        <v>7</v>
      </c>
      <c r="D4953" t="str">
        <f t="shared" si="178"/>
        <v>563811</v>
      </c>
      <c r="E4953" t="s">
        <v>5204</v>
      </c>
      <c r="F4953" t="s">
        <v>9</v>
      </c>
    </row>
    <row r="4954" spans="1:6" x14ac:dyDescent="0.25">
      <c r="A4954" t="str">
        <f>"64668622"</f>
        <v>64668622</v>
      </c>
      <c r="B4954" t="s">
        <v>5214</v>
      </c>
      <c r="C4954" t="s">
        <v>15</v>
      </c>
      <c r="D4954" t="str">
        <f t="shared" si="178"/>
        <v>563811</v>
      </c>
      <c r="E4954" t="s">
        <v>5204</v>
      </c>
      <c r="F4954" t="s">
        <v>11</v>
      </c>
    </row>
    <row r="4955" spans="1:6" x14ac:dyDescent="0.25">
      <c r="A4955" t="str">
        <f>"11887117"</f>
        <v>11887117</v>
      </c>
      <c r="B4955" t="s">
        <v>5215</v>
      </c>
      <c r="C4955" t="s">
        <v>7</v>
      </c>
      <c r="D4955" t="str">
        <f t="shared" si="178"/>
        <v>563811</v>
      </c>
      <c r="E4955" t="s">
        <v>5204</v>
      </c>
      <c r="F4955" t="s">
        <v>18</v>
      </c>
    </row>
    <row r="4956" spans="1:6" x14ac:dyDescent="0.25">
      <c r="A4956" t="str">
        <f>"21494223"</f>
        <v>21494223</v>
      </c>
      <c r="B4956" t="s">
        <v>5216</v>
      </c>
      <c r="C4956" t="s">
        <v>7</v>
      </c>
      <c r="D4956" t="str">
        <f t="shared" si="178"/>
        <v>563811</v>
      </c>
      <c r="E4956" t="s">
        <v>5204</v>
      </c>
      <c r="F4956" t="s">
        <v>254</v>
      </c>
    </row>
    <row r="4957" spans="1:6" x14ac:dyDescent="0.25">
      <c r="A4957" t="str">
        <f>"41326172"</f>
        <v>41326172</v>
      </c>
      <c r="B4957" t="s">
        <v>5217</v>
      </c>
      <c r="C4957" t="s">
        <v>7</v>
      </c>
      <c r="D4957" t="str">
        <f t="shared" si="178"/>
        <v>563811</v>
      </c>
      <c r="E4957" t="s">
        <v>5204</v>
      </c>
      <c r="F4957" t="s">
        <v>38</v>
      </c>
    </row>
    <row r="4958" spans="1:6" x14ac:dyDescent="0.25">
      <c r="A4958" t="str">
        <f>"17111986"</f>
        <v>17111986</v>
      </c>
      <c r="B4958" t="s">
        <v>5218</v>
      </c>
      <c r="C4958" t="s">
        <v>325</v>
      </c>
      <c r="D4958" t="str">
        <f t="shared" si="178"/>
        <v>563811</v>
      </c>
      <c r="E4958" t="s">
        <v>5204</v>
      </c>
      <c r="F4958" t="s">
        <v>11</v>
      </c>
    </row>
    <row r="4959" spans="1:6" x14ac:dyDescent="0.25">
      <c r="A4959" t="str">
        <f>"70229899"</f>
        <v>70229899</v>
      </c>
      <c r="B4959" t="s">
        <v>5219</v>
      </c>
      <c r="C4959" t="s">
        <v>7</v>
      </c>
      <c r="D4959" t="str">
        <f t="shared" si="178"/>
        <v>563811</v>
      </c>
      <c r="E4959" t="s">
        <v>5204</v>
      </c>
      <c r="F4959" t="s">
        <v>1777</v>
      </c>
    </row>
    <row r="4960" spans="1:6" x14ac:dyDescent="0.25">
      <c r="A4960" t="str">
        <f>"26597918"</f>
        <v>26597918</v>
      </c>
      <c r="B4960" t="s">
        <v>5220</v>
      </c>
      <c r="C4960" t="s">
        <v>7</v>
      </c>
      <c r="D4960" t="str">
        <f t="shared" si="178"/>
        <v>563811</v>
      </c>
      <c r="E4960" t="s">
        <v>5204</v>
      </c>
      <c r="F4960" t="s">
        <v>139</v>
      </c>
    </row>
    <row r="4961" spans="1:6" x14ac:dyDescent="0.25">
      <c r="A4961" t="str">
        <f>"01564421"</f>
        <v>01564421</v>
      </c>
      <c r="B4961" t="s">
        <v>5221</v>
      </c>
      <c r="C4961" t="s">
        <v>7</v>
      </c>
      <c r="D4961" t="str">
        <f t="shared" si="178"/>
        <v>563811</v>
      </c>
      <c r="E4961" t="s">
        <v>5204</v>
      </c>
      <c r="F4961" t="s">
        <v>11</v>
      </c>
    </row>
    <row r="4962" spans="1:6" x14ac:dyDescent="0.25">
      <c r="A4962" t="str">
        <f>"70229627"</f>
        <v>70229627</v>
      </c>
      <c r="B4962" t="s">
        <v>5222</v>
      </c>
      <c r="C4962" t="s">
        <v>43</v>
      </c>
      <c r="D4962" t="str">
        <f t="shared" si="178"/>
        <v>563811</v>
      </c>
      <c r="E4962" t="s">
        <v>5204</v>
      </c>
      <c r="F4962" t="s">
        <v>44</v>
      </c>
    </row>
    <row r="4963" spans="1:6" x14ac:dyDescent="0.25">
      <c r="A4963" t="str">
        <f>"70829110"</f>
        <v>70829110</v>
      </c>
      <c r="B4963" t="s">
        <v>5223</v>
      </c>
      <c r="C4963" t="s">
        <v>7</v>
      </c>
      <c r="D4963" t="str">
        <f t="shared" si="178"/>
        <v>563811</v>
      </c>
      <c r="E4963" t="s">
        <v>5204</v>
      </c>
      <c r="F4963" t="s">
        <v>11</v>
      </c>
    </row>
    <row r="4964" spans="1:6" x14ac:dyDescent="0.25">
      <c r="A4964" t="str">
        <f>"65082711"</f>
        <v>65082711</v>
      </c>
      <c r="B4964" t="s">
        <v>5224</v>
      </c>
      <c r="C4964" t="s">
        <v>7</v>
      </c>
      <c r="D4964" t="str">
        <f t="shared" si="178"/>
        <v>563811</v>
      </c>
      <c r="E4964" t="s">
        <v>5204</v>
      </c>
      <c r="F4964" t="s">
        <v>11</v>
      </c>
    </row>
    <row r="4965" spans="1:6" x14ac:dyDescent="0.25">
      <c r="A4965" t="str">
        <f>"04125789"</f>
        <v>04125789</v>
      </c>
      <c r="B4965" t="s">
        <v>5225</v>
      </c>
      <c r="C4965" t="s">
        <v>7</v>
      </c>
      <c r="D4965" t="str">
        <f t="shared" si="178"/>
        <v>563811</v>
      </c>
      <c r="E4965" t="s">
        <v>5204</v>
      </c>
      <c r="F4965" t="s">
        <v>13</v>
      </c>
    </row>
    <row r="4966" spans="1:6" x14ac:dyDescent="0.25">
      <c r="A4966" t="str">
        <f>"63154714"</f>
        <v>63154714</v>
      </c>
      <c r="B4966" t="s">
        <v>5226</v>
      </c>
      <c r="C4966" t="s">
        <v>7</v>
      </c>
      <c r="D4966" t="str">
        <f t="shared" si="178"/>
        <v>563811</v>
      </c>
      <c r="E4966" t="s">
        <v>5204</v>
      </c>
      <c r="F4966" t="s">
        <v>11</v>
      </c>
    </row>
    <row r="4967" spans="1:6" x14ac:dyDescent="0.25">
      <c r="A4967" t="str">
        <f>"22613391"</f>
        <v>22613391</v>
      </c>
      <c r="B4967" t="s">
        <v>5227</v>
      </c>
      <c r="C4967" t="s">
        <v>7</v>
      </c>
      <c r="D4967" t="str">
        <f t="shared" si="178"/>
        <v>563811</v>
      </c>
      <c r="E4967" t="s">
        <v>5204</v>
      </c>
      <c r="F4967" t="s">
        <v>29</v>
      </c>
    </row>
    <row r="4968" spans="1:6" x14ac:dyDescent="0.25">
      <c r="A4968" t="str">
        <f>"70583048"</f>
        <v>70583048</v>
      </c>
      <c r="B4968" t="s">
        <v>5228</v>
      </c>
      <c r="C4968" t="s">
        <v>7</v>
      </c>
      <c r="D4968" t="str">
        <f t="shared" si="178"/>
        <v>563811</v>
      </c>
      <c r="E4968" t="s">
        <v>5204</v>
      </c>
      <c r="F4968" t="s">
        <v>11</v>
      </c>
    </row>
    <row r="4969" spans="1:6" x14ac:dyDescent="0.25">
      <c r="A4969" t="str">
        <f>"02447720"</f>
        <v>02447720</v>
      </c>
      <c r="B4969" t="s">
        <v>5229</v>
      </c>
      <c r="C4969" t="s">
        <v>7</v>
      </c>
      <c r="D4969" t="str">
        <f t="shared" si="178"/>
        <v>563811</v>
      </c>
      <c r="E4969" t="s">
        <v>5204</v>
      </c>
      <c r="F4969" t="s">
        <v>13</v>
      </c>
    </row>
    <row r="4970" spans="1:6" x14ac:dyDescent="0.25">
      <c r="A4970" t="str">
        <f>"64668231"</f>
        <v>64668231</v>
      </c>
      <c r="B4970" t="s">
        <v>5230</v>
      </c>
      <c r="C4970" t="s">
        <v>15</v>
      </c>
      <c r="D4970" t="str">
        <f t="shared" si="178"/>
        <v>563811</v>
      </c>
      <c r="E4970" t="s">
        <v>5204</v>
      </c>
      <c r="F4970" t="s">
        <v>16</v>
      </c>
    </row>
    <row r="4971" spans="1:6" x14ac:dyDescent="0.25">
      <c r="A4971" t="str">
        <f>"64668274"</f>
        <v>64668274</v>
      </c>
      <c r="B4971" t="s">
        <v>5231</v>
      </c>
      <c r="C4971" t="s">
        <v>15</v>
      </c>
      <c r="D4971" t="str">
        <f t="shared" si="178"/>
        <v>563811</v>
      </c>
      <c r="E4971" t="s">
        <v>5204</v>
      </c>
      <c r="F4971" t="s">
        <v>16</v>
      </c>
    </row>
    <row r="4972" spans="1:6" x14ac:dyDescent="0.25">
      <c r="A4972" t="str">
        <f>"27031136"</f>
        <v>27031136</v>
      </c>
      <c r="B4972" t="s">
        <v>5232</v>
      </c>
      <c r="C4972" t="s">
        <v>7</v>
      </c>
      <c r="D4972" t="str">
        <f t="shared" si="178"/>
        <v>563811</v>
      </c>
      <c r="E4972" t="s">
        <v>5204</v>
      </c>
      <c r="F4972" t="s">
        <v>11</v>
      </c>
    </row>
    <row r="4973" spans="1:6" x14ac:dyDescent="0.25">
      <c r="A4973" t="str">
        <f>"01418050"</f>
        <v>01418050</v>
      </c>
      <c r="B4973" t="s">
        <v>5233</v>
      </c>
      <c r="C4973" t="s">
        <v>7</v>
      </c>
      <c r="D4973" t="str">
        <f t="shared" si="178"/>
        <v>563811</v>
      </c>
      <c r="E4973" t="s">
        <v>5204</v>
      </c>
      <c r="F4973" t="s">
        <v>11</v>
      </c>
    </row>
    <row r="4974" spans="1:6" x14ac:dyDescent="0.25">
      <c r="A4974" t="str">
        <f>"26656159"</f>
        <v>26656159</v>
      </c>
      <c r="B4974" t="s">
        <v>5234</v>
      </c>
      <c r="C4974" t="s">
        <v>7</v>
      </c>
      <c r="D4974" t="str">
        <f t="shared" si="178"/>
        <v>563811</v>
      </c>
      <c r="E4974" t="s">
        <v>5204</v>
      </c>
      <c r="F4974" t="s">
        <v>11</v>
      </c>
    </row>
    <row r="4975" spans="1:6" x14ac:dyDescent="0.25">
      <c r="A4975" t="str">
        <f>"16389913"</f>
        <v>16389913</v>
      </c>
      <c r="B4975" t="s">
        <v>5235</v>
      </c>
      <c r="C4975" t="s">
        <v>7</v>
      </c>
      <c r="D4975" t="str">
        <f t="shared" si="178"/>
        <v>563811</v>
      </c>
      <c r="E4975" t="s">
        <v>5204</v>
      </c>
      <c r="F4975" t="s">
        <v>9</v>
      </c>
    </row>
    <row r="4976" spans="1:6" x14ac:dyDescent="0.25">
      <c r="A4976" t="str">
        <f>"04411617"</f>
        <v>04411617</v>
      </c>
      <c r="B4976" t="s">
        <v>5236</v>
      </c>
      <c r="C4976" t="s">
        <v>7</v>
      </c>
      <c r="D4976" t="str">
        <f t="shared" si="178"/>
        <v>563811</v>
      </c>
      <c r="E4976" t="s">
        <v>5204</v>
      </c>
      <c r="F4976" t="s">
        <v>11</v>
      </c>
    </row>
    <row r="4977" spans="1:6" x14ac:dyDescent="0.25">
      <c r="A4977" t="str">
        <f>"60253061"</f>
        <v>60253061</v>
      </c>
      <c r="B4977" t="s">
        <v>5237</v>
      </c>
      <c r="C4977" t="s">
        <v>7</v>
      </c>
      <c r="D4977" t="str">
        <f t="shared" si="178"/>
        <v>563811</v>
      </c>
      <c r="E4977" t="s">
        <v>5204</v>
      </c>
      <c r="F4977" t="s">
        <v>9</v>
      </c>
    </row>
    <row r="4978" spans="1:6" x14ac:dyDescent="0.25">
      <c r="A4978" t="str">
        <f>"02605716"</f>
        <v>02605716</v>
      </c>
      <c r="B4978" t="s">
        <v>5238</v>
      </c>
      <c r="C4978" t="s">
        <v>78</v>
      </c>
      <c r="D4978" t="str">
        <f t="shared" si="178"/>
        <v>563811</v>
      </c>
      <c r="E4978" t="s">
        <v>5204</v>
      </c>
      <c r="F4978" t="s">
        <v>1386</v>
      </c>
    </row>
    <row r="4979" spans="1:6" x14ac:dyDescent="0.25">
      <c r="A4979" t="str">
        <f>"43256783"</f>
        <v>43256783</v>
      </c>
      <c r="B4979" t="s">
        <v>5239</v>
      </c>
      <c r="C4979" t="s">
        <v>7</v>
      </c>
      <c r="D4979" t="str">
        <f t="shared" si="178"/>
        <v>563811</v>
      </c>
      <c r="E4979" t="s">
        <v>5204</v>
      </c>
      <c r="F4979" t="s">
        <v>9</v>
      </c>
    </row>
    <row r="4980" spans="1:6" x14ac:dyDescent="0.25">
      <c r="A4980" t="str">
        <f>"16389352"</f>
        <v>16389352</v>
      </c>
      <c r="B4980" t="s">
        <v>5240</v>
      </c>
      <c r="C4980" t="s">
        <v>7</v>
      </c>
      <c r="D4980" t="str">
        <f t="shared" si="178"/>
        <v>563811</v>
      </c>
      <c r="E4980" t="s">
        <v>5204</v>
      </c>
      <c r="F4980" t="s">
        <v>9</v>
      </c>
    </row>
    <row r="4981" spans="1:6" x14ac:dyDescent="0.25">
      <c r="A4981" t="str">
        <f>"06422683"</f>
        <v>06422683</v>
      </c>
      <c r="B4981" t="s">
        <v>5241</v>
      </c>
      <c r="C4981" t="s">
        <v>7</v>
      </c>
      <c r="D4981" t="str">
        <f t="shared" si="178"/>
        <v>563811</v>
      </c>
      <c r="E4981" t="s">
        <v>5204</v>
      </c>
      <c r="F4981" t="s">
        <v>35</v>
      </c>
    </row>
    <row r="4982" spans="1:6" x14ac:dyDescent="0.25">
      <c r="A4982" t="str">
        <f>"60252049"</f>
        <v>60252049</v>
      </c>
      <c r="B4982" t="s">
        <v>5242</v>
      </c>
      <c r="C4982" t="s">
        <v>7</v>
      </c>
      <c r="D4982" t="str">
        <f t="shared" si="178"/>
        <v>563811</v>
      </c>
      <c r="E4982" t="s">
        <v>5204</v>
      </c>
      <c r="F4982" t="s">
        <v>9</v>
      </c>
    </row>
    <row r="4983" spans="1:6" x14ac:dyDescent="0.25">
      <c r="A4983" t="str">
        <f>"60254025"</f>
        <v>60254025</v>
      </c>
      <c r="B4983" t="s">
        <v>5243</v>
      </c>
      <c r="C4983" t="s">
        <v>7</v>
      </c>
      <c r="D4983" t="str">
        <f t="shared" si="178"/>
        <v>563811</v>
      </c>
      <c r="E4983" t="s">
        <v>5204</v>
      </c>
      <c r="F4983" t="s">
        <v>11</v>
      </c>
    </row>
    <row r="4984" spans="1:6" x14ac:dyDescent="0.25">
      <c r="A4984" t="str">
        <f>"05078580"</f>
        <v>05078580</v>
      </c>
      <c r="B4984" t="s">
        <v>5244</v>
      </c>
      <c r="C4984" t="s">
        <v>7</v>
      </c>
      <c r="D4984" t="str">
        <f t="shared" si="178"/>
        <v>563811</v>
      </c>
      <c r="E4984" t="s">
        <v>5204</v>
      </c>
      <c r="F4984" t="s">
        <v>11</v>
      </c>
    </row>
    <row r="4985" spans="1:6" x14ac:dyDescent="0.25">
      <c r="A4985" t="str">
        <f>"09778772"</f>
        <v>09778772</v>
      </c>
      <c r="B4985" t="s">
        <v>5245</v>
      </c>
      <c r="C4985" t="s">
        <v>7</v>
      </c>
      <c r="D4985" t="str">
        <f t="shared" si="178"/>
        <v>563811</v>
      </c>
      <c r="E4985" t="s">
        <v>5204</v>
      </c>
      <c r="F4985" t="s">
        <v>11</v>
      </c>
    </row>
    <row r="4986" spans="1:6" x14ac:dyDescent="0.25">
      <c r="A4986" t="str">
        <f>"07345089"</f>
        <v>07345089</v>
      </c>
      <c r="B4986" t="s">
        <v>5246</v>
      </c>
      <c r="C4986" t="s">
        <v>7</v>
      </c>
      <c r="D4986" t="str">
        <f t="shared" si="178"/>
        <v>563811</v>
      </c>
      <c r="E4986" t="s">
        <v>5204</v>
      </c>
      <c r="F4986" t="s">
        <v>18</v>
      </c>
    </row>
    <row r="4987" spans="1:6" x14ac:dyDescent="0.25">
      <c r="A4987" t="str">
        <f>"02053918"</f>
        <v>02053918</v>
      </c>
      <c r="B4987" t="s">
        <v>5247</v>
      </c>
      <c r="C4987" t="s">
        <v>7</v>
      </c>
      <c r="D4987" t="str">
        <f t="shared" si="178"/>
        <v>563811</v>
      </c>
      <c r="E4987" t="s">
        <v>5204</v>
      </c>
      <c r="F4987" t="s">
        <v>29</v>
      </c>
    </row>
    <row r="4988" spans="1:6" x14ac:dyDescent="0.25">
      <c r="A4988" t="str">
        <f>"46745378"</f>
        <v>46745378</v>
      </c>
      <c r="B4988" t="s">
        <v>5248</v>
      </c>
      <c r="C4988" t="s">
        <v>37</v>
      </c>
      <c r="D4988" t="str">
        <f>"564401"</f>
        <v>564401</v>
      </c>
      <c r="E4988" t="s">
        <v>5249</v>
      </c>
      <c r="F4988" t="s">
        <v>38</v>
      </c>
    </row>
    <row r="4989" spans="1:6" x14ac:dyDescent="0.25">
      <c r="A4989" t="str">
        <f>"64039072"</f>
        <v>64039072</v>
      </c>
      <c r="B4989" t="s">
        <v>5250</v>
      </c>
      <c r="C4989" t="s">
        <v>15</v>
      </c>
      <c r="D4989" t="str">
        <f>"564401"</f>
        <v>564401</v>
      </c>
      <c r="E4989" t="s">
        <v>5249</v>
      </c>
      <c r="F4989" t="s">
        <v>16</v>
      </c>
    </row>
    <row r="4990" spans="1:6" x14ac:dyDescent="0.25">
      <c r="A4990" t="str">
        <f>"61378666"</f>
        <v>61378666</v>
      </c>
      <c r="B4990" t="s">
        <v>5251</v>
      </c>
      <c r="C4990" t="s">
        <v>7</v>
      </c>
      <c r="D4990" t="str">
        <f t="shared" ref="D4990:D5004" si="179">"562076"</f>
        <v>562076</v>
      </c>
      <c r="E4990" t="s">
        <v>5252</v>
      </c>
      <c r="F4990" t="s">
        <v>11</v>
      </c>
    </row>
    <row r="4991" spans="1:6" x14ac:dyDescent="0.25">
      <c r="A4991" t="str">
        <f>"62486331"</f>
        <v>62486331</v>
      </c>
      <c r="B4991" t="s">
        <v>5253</v>
      </c>
      <c r="C4991" t="s">
        <v>15</v>
      </c>
      <c r="D4991" t="str">
        <f t="shared" si="179"/>
        <v>562076</v>
      </c>
      <c r="E4991" t="s">
        <v>5252</v>
      </c>
      <c r="F4991" t="s">
        <v>29</v>
      </c>
    </row>
    <row r="4992" spans="1:6" x14ac:dyDescent="0.25">
      <c r="A4992" t="str">
        <f>"46750967"</f>
        <v>46750967</v>
      </c>
      <c r="B4992" t="s">
        <v>5254</v>
      </c>
      <c r="C4992" t="s">
        <v>7</v>
      </c>
      <c r="D4992" t="str">
        <f t="shared" si="179"/>
        <v>562076</v>
      </c>
      <c r="E4992" t="s">
        <v>5252</v>
      </c>
      <c r="F4992" t="s">
        <v>9</v>
      </c>
    </row>
    <row r="4993" spans="1:6" x14ac:dyDescent="0.25">
      <c r="A4993" t="str">
        <f>"26624401"</f>
        <v>26624401</v>
      </c>
      <c r="B4993" t="s">
        <v>5255</v>
      </c>
      <c r="C4993" t="s">
        <v>7</v>
      </c>
      <c r="D4993" t="str">
        <f t="shared" si="179"/>
        <v>562076</v>
      </c>
      <c r="E4993" t="s">
        <v>5252</v>
      </c>
      <c r="F4993" t="s">
        <v>35</v>
      </c>
    </row>
    <row r="4994" spans="1:6" x14ac:dyDescent="0.25">
      <c r="A4994" t="str">
        <f>"26653974"</f>
        <v>26653974</v>
      </c>
      <c r="B4994" t="s">
        <v>5256</v>
      </c>
      <c r="C4994" t="s">
        <v>7</v>
      </c>
      <c r="D4994" t="str">
        <f t="shared" si="179"/>
        <v>562076</v>
      </c>
      <c r="E4994" t="s">
        <v>5252</v>
      </c>
      <c r="F4994" t="s">
        <v>11</v>
      </c>
    </row>
    <row r="4995" spans="1:6" x14ac:dyDescent="0.25">
      <c r="A4995" t="str">
        <f>"01549031"</f>
        <v>01549031</v>
      </c>
      <c r="B4995" t="s">
        <v>5257</v>
      </c>
      <c r="C4995" t="s">
        <v>7</v>
      </c>
      <c r="D4995" t="str">
        <f t="shared" si="179"/>
        <v>562076</v>
      </c>
      <c r="E4995" t="s">
        <v>5252</v>
      </c>
      <c r="F4995" t="s">
        <v>11</v>
      </c>
    </row>
    <row r="4996" spans="1:6" x14ac:dyDescent="0.25">
      <c r="A4996" t="str">
        <f>"28557514"</f>
        <v>28557514</v>
      </c>
      <c r="B4996" t="s">
        <v>5258</v>
      </c>
      <c r="C4996" t="s">
        <v>7</v>
      </c>
      <c r="D4996" t="str">
        <f t="shared" si="179"/>
        <v>562076</v>
      </c>
      <c r="E4996" t="s">
        <v>5252</v>
      </c>
      <c r="F4996" t="s">
        <v>11</v>
      </c>
    </row>
    <row r="4997" spans="1:6" x14ac:dyDescent="0.25">
      <c r="A4997" t="str">
        <f>"71160965"</f>
        <v>71160965</v>
      </c>
      <c r="B4997" t="s">
        <v>5259</v>
      </c>
      <c r="C4997" t="s">
        <v>15</v>
      </c>
      <c r="D4997" t="str">
        <f t="shared" si="179"/>
        <v>562076</v>
      </c>
      <c r="E4997" t="s">
        <v>5252</v>
      </c>
      <c r="F4997" t="s">
        <v>65</v>
      </c>
    </row>
    <row r="4998" spans="1:6" x14ac:dyDescent="0.25">
      <c r="A4998" t="str">
        <f>"19748728"</f>
        <v>19748728</v>
      </c>
      <c r="B4998" t="s">
        <v>5260</v>
      </c>
      <c r="C4998" t="s">
        <v>7</v>
      </c>
      <c r="D4998" t="str">
        <f t="shared" si="179"/>
        <v>562076</v>
      </c>
      <c r="E4998" t="s">
        <v>5252</v>
      </c>
      <c r="F4998" t="s">
        <v>11</v>
      </c>
    </row>
    <row r="4999" spans="1:6" x14ac:dyDescent="0.25">
      <c r="A4999" t="str">
        <f>"62237675"</f>
        <v>62237675</v>
      </c>
      <c r="B4999" t="s">
        <v>5261</v>
      </c>
      <c r="C4999" t="s">
        <v>7</v>
      </c>
      <c r="D4999" t="str">
        <f t="shared" si="179"/>
        <v>562076</v>
      </c>
      <c r="E4999" t="s">
        <v>5252</v>
      </c>
      <c r="F4999" t="s">
        <v>35</v>
      </c>
    </row>
    <row r="5000" spans="1:6" x14ac:dyDescent="0.25">
      <c r="A5000" t="str">
        <f>"19659156"</f>
        <v>19659156</v>
      </c>
      <c r="B5000" t="s">
        <v>5262</v>
      </c>
      <c r="C5000" t="s">
        <v>7</v>
      </c>
      <c r="D5000" t="str">
        <f t="shared" si="179"/>
        <v>562076</v>
      </c>
      <c r="E5000" t="s">
        <v>5252</v>
      </c>
      <c r="F5000" t="s">
        <v>62</v>
      </c>
    </row>
    <row r="5001" spans="1:6" x14ac:dyDescent="0.25">
      <c r="A5001" t="str">
        <f>"49864092"</f>
        <v>49864092</v>
      </c>
      <c r="B5001" t="s">
        <v>5263</v>
      </c>
      <c r="C5001" t="s">
        <v>7</v>
      </c>
      <c r="D5001" t="str">
        <f t="shared" si="179"/>
        <v>562076</v>
      </c>
      <c r="E5001" t="s">
        <v>5252</v>
      </c>
      <c r="F5001" t="s">
        <v>9</v>
      </c>
    </row>
    <row r="5002" spans="1:6" x14ac:dyDescent="0.25">
      <c r="A5002" t="str">
        <f>"22847146"</f>
        <v>22847146</v>
      </c>
      <c r="B5002" t="s">
        <v>5264</v>
      </c>
      <c r="C5002" t="s">
        <v>7</v>
      </c>
      <c r="D5002" t="str">
        <f t="shared" si="179"/>
        <v>562076</v>
      </c>
      <c r="E5002" t="s">
        <v>5252</v>
      </c>
      <c r="F5002" t="s">
        <v>35</v>
      </c>
    </row>
    <row r="5003" spans="1:6" x14ac:dyDescent="0.25">
      <c r="A5003" t="str">
        <f>"26548551"</f>
        <v>26548551</v>
      </c>
      <c r="B5003" t="s">
        <v>5265</v>
      </c>
      <c r="C5003" t="s">
        <v>7</v>
      </c>
      <c r="D5003" t="str">
        <f t="shared" si="179"/>
        <v>562076</v>
      </c>
      <c r="E5003" t="s">
        <v>5252</v>
      </c>
      <c r="F5003" t="s">
        <v>11</v>
      </c>
    </row>
    <row r="5004" spans="1:6" x14ac:dyDescent="0.25">
      <c r="A5004" t="str">
        <f>"65650433"</f>
        <v>65650433</v>
      </c>
      <c r="B5004" t="s">
        <v>5266</v>
      </c>
      <c r="C5004" t="s">
        <v>20</v>
      </c>
      <c r="D5004" t="str">
        <f t="shared" si="179"/>
        <v>562076</v>
      </c>
      <c r="E5004" t="s">
        <v>5252</v>
      </c>
      <c r="F5004" t="s">
        <v>21</v>
      </c>
    </row>
    <row r="5005" spans="1:6" x14ac:dyDescent="0.25">
      <c r="A5005" t="str">
        <f>"70698333"</f>
        <v>70698333</v>
      </c>
      <c r="B5005" t="s">
        <v>5267</v>
      </c>
      <c r="C5005" t="s">
        <v>15</v>
      </c>
      <c r="D5005" t="str">
        <f t="shared" ref="D5005:D5015" si="180">"577545"</f>
        <v>577545</v>
      </c>
      <c r="E5005" t="s">
        <v>5268</v>
      </c>
      <c r="F5005" t="s">
        <v>29</v>
      </c>
    </row>
    <row r="5006" spans="1:6" x14ac:dyDescent="0.25">
      <c r="A5006" t="str">
        <f>"45599076"</f>
        <v>45599076</v>
      </c>
      <c r="B5006" t="s">
        <v>5269</v>
      </c>
      <c r="C5006" t="s">
        <v>37</v>
      </c>
      <c r="D5006" t="str">
        <f t="shared" si="180"/>
        <v>577545</v>
      </c>
      <c r="E5006" t="s">
        <v>5268</v>
      </c>
      <c r="F5006" t="s">
        <v>38</v>
      </c>
    </row>
    <row r="5007" spans="1:6" x14ac:dyDescent="0.25">
      <c r="A5007" t="str">
        <f>"15045951"</f>
        <v>15045951</v>
      </c>
      <c r="B5007" t="s">
        <v>5270</v>
      </c>
      <c r="C5007" t="s">
        <v>7</v>
      </c>
      <c r="D5007" t="str">
        <f t="shared" si="180"/>
        <v>577545</v>
      </c>
      <c r="E5007" t="s">
        <v>5268</v>
      </c>
      <c r="F5007" t="s">
        <v>38</v>
      </c>
    </row>
    <row r="5008" spans="1:6" x14ac:dyDescent="0.25">
      <c r="A5008" t="str">
        <f>"06860991"</f>
        <v>06860991</v>
      </c>
      <c r="B5008" t="s">
        <v>5271</v>
      </c>
      <c r="C5008" t="s">
        <v>7</v>
      </c>
      <c r="D5008" t="str">
        <f t="shared" si="180"/>
        <v>577545</v>
      </c>
      <c r="E5008" t="s">
        <v>5268</v>
      </c>
      <c r="F5008" t="s">
        <v>18</v>
      </c>
    </row>
    <row r="5009" spans="1:6" x14ac:dyDescent="0.25">
      <c r="A5009" t="str">
        <f>"45599637"</f>
        <v>45599637</v>
      </c>
      <c r="B5009" t="s">
        <v>5272</v>
      </c>
      <c r="C5009" t="s">
        <v>15</v>
      </c>
      <c r="D5009" t="str">
        <f t="shared" si="180"/>
        <v>577545</v>
      </c>
      <c r="E5009" t="s">
        <v>5268</v>
      </c>
      <c r="F5009" t="s">
        <v>16</v>
      </c>
    </row>
    <row r="5010" spans="1:6" x14ac:dyDescent="0.25">
      <c r="A5010" t="str">
        <f>"62013769"</f>
        <v>62013769</v>
      </c>
      <c r="B5010" t="s">
        <v>5273</v>
      </c>
      <c r="C5010" t="s">
        <v>15</v>
      </c>
      <c r="D5010" t="str">
        <f t="shared" si="180"/>
        <v>577545</v>
      </c>
      <c r="E5010" t="s">
        <v>5268</v>
      </c>
      <c r="F5010" t="s">
        <v>16</v>
      </c>
    </row>
    <row r="5011" spans="1:6" x14ac:dyDescent="0.25">
      <c r="A5011" t="str">
        <f>"62013904"</f>
        <v>62013904</v>
      </c>
      <c r="B5011" t="s">
        <v>5274</v>
      </c>
      <c r="C5011" t="s">
        <v>15</v>
      </c>
      <c r="D5011" t="str">
        <f t="shared" si="180"/>
        <v>577545</v>
      </c>
      <c r="E5011" t="s">
        <v>5268</v>
      </c>
      <c r="F5011" t="s">
        <v>16</v>
      </c>
    </row>
    <row r="5012" spans="1:6" x14ac:dyDescent="0.25">
      <c r="A5012" t="str">
        <f>"45597651"</f>
        <v>45597651</v>
      </c>
      <c r="B5012" t="s">
        <v>5275</v>
      </c>
      <c r="C5012" t="s">
        <v>7</v>
      </c>
      <c r="D5012" t="str">
        <f t="shared" si="180"/>
        <v>577545</v>
      </c>
      <c r="E5012" t="s">
        <v>5268</v>
      </c>
      <c r="F5012" t="s">
        <v>65</v>
      </c>
    </row>
    <row r="5013" spans="1:6" x14ac:dyDescent="0.25">
      <c r="A5013" t="str">
        <f>"21400466"</f>
        <v>21400466</v>
      </c>
      <c r="B5013" t="s">
        <v>5276</v>
      </c>
      <c r="C5013" t="s">
        <v>7</v>
      </c>
      <c r="D5013" t="str">
        <f t="shared" si="180"/>
        <v>577545</v>
      </c>
      <c r="E5013" t="s">
        <v>5268</v>
      </c>
      <c r="F5013" t="s">
        <v>11</v>
      </c>
    </row>
    <row r="5014" spans="1:6" x14ac:dyDescent="0.25">
      <c r="A5014" t="str">
        <f>"23094273"</f>
        <v>23094273</v>
      </c>
      <c r="B5014" t="s">
        <v>5277</v>
      </c>
      <c r="C5014" t="s">
        <v>7</v>
      </c>
      <c r="D5014" t="str">
        <f t="shared" si="180"/>
        <v>577545</v>
      </c>
      <c r="E5014" t="s">
        <v>5268</v>
      </c>
      <c r="F5014" t="s">
        <v>11</v>
      </c>
    </row>
    <row r="5015" spans="1:6" x14ac:dyDescent="0.25">
      <c r="A5015" t="str">
        <f>"08986606"</f>
        <v>08986606</v>
      </c>
      <c r="B5015" t="s">
        <v>5278</v>
      </c>
      <c r="C5015" t="s">
        <v>7</v>
      </c>
      <c r="D5015" t="str">
        <f t="shared" si="180"/>
        <v>577545</v>
      </c>
      <c r="E5015" t="s">
        <v>5268</v>
      </c>
      <c r="F5015" t="s">
        <v>11</v>
      </c>
    </row>
    <row r="5016" spans="1:6" x14ac:dyDescent="0.25">
      <c r="A5016" t="str">
        <f>"06242073"</f>
        <v>06242073</v>
      </c>
      <c r="B5016" t="s">
        <v>5279</v>
      </c>
      <c r="C5016" t="s">
        <v>7</v>
      </c>
      <c r="D5016" t="str">
        <f t="shared" ref="D5016:D5023" si="181">"562106"</f>
        <v>562106</v>
      </c>
      <c r="E5016" t="s">
        <v>5280</v>
      </c>
      <c r="F5016" t="s">
        <v>11</v>
      </c>
    </row>
    <row r="5017" spans="1:6" x14ac:dyDescent="0.25">
      <c r="A5017" t="str">
        <f>"22742328"</f>
        <v>22742328</v>
      </c>
      <c r="B5017" t="s">
        <v>5281</v>
      </c>
      <c r="C5017" t="s">
        <v>15</v>
      </c>
      <c r="D5017" t="str">
        <f t="shared" si="181"/>
        <v>562106</v>
      </c>
      <c r="E5017" t="s">
        <v>5280</v>
      </c>
      <c r="F5017" t="s">
        <v>29</v>
      </c>
    </row>
    <row r="5018" spans="1:6" x14ac:dyDescent="0.25">
      <c r="A5018" t="str">
        <f>"75083892"</f>
        <v>75083892</v>
      </c>
      <c r="B5018" t="s">
        <v>5282</v>
      </c>
      <c r="C5018" t="s">
        <v>37</v>
      </c>
      <c r="D5018" t="str">
        <f t="shared" si="181"/>
        <v>562106</v>
      </c>
      <c r="E5018" t="s">
        <v>5280</v>
      </c>
      <c r="F5018" t="s">
        <v>38</v>
      </c>
    </row>
    <row r="5019" spans="1:6" x14ac:dyDescent="0.25">
      <c r="A5019" t="str">
        <f>"48282324"</f>
        <v>48282324</v>
      </c>
      <c r="B5019" t="s">
        <v>5283</v>
      </c>
      <c r="C5019" t="s">
        <v>7</v>
      </c>
      <c r="D5019" t="str">
        <f t="shared" si="181"/>
        <v>562106</v>
      </c>
      <c r="E5019" t="s">
        <v>5280</v>
      </c>
      <c r="F5019" t="s">
        <v>38</v>
      </c>
    </row>
    <row r="5020" spans="1:6" x14ac:dyDescent="0.25">
      <c r="A5020" t="str">
        <f>"75098342"</f>
        <v>75098342</v>
      </c>
      <c r="B5020" t="s">
        <v>5284</v>
      </c>
      <c r="C5020" t="s">
        <v>15</v>
      </c>
      <c r="D5020" t="str">
        <f t="shared" si="181"/>
        <v>562106</v>
      </c>
      <c r="E5020" t="s">
        <v>5280</v>
      </c>
      <c r="F5020" t="s">
        <v>16</v>
      </c>
    </row>
    <row r="5021" spans="1:6" x14ac:dyDescent="0.25">
      <c r="A5021" t="str">
        <f>"19449674"</f>
        <v>19449674</v>
      </c>
      <c r="B5021" t="s">
        <v>5285</v>
      </c>
      <c r="C5021" t="s">
        <v>7</v>
      </c>
      <c r="D5021" t="str">
        <f t="shared" si="181"/>
        <v>562106</v>
      </c>
      <c r="E5021" t="s">
        <v>5280</v>
      </c>
      <c r="F5021" t="s">
        <v>9</v>
      </c>
    </row>
    <row r="5022" spans="1:6" x14ac:dyDescent="0.25">
      <c r="A5022" t="str">
        <f>"48282341"</f>
        <v>48282341</v>
      </c>
      <c r="B5022" t="s">
        <v>5286</v>
      </c>
      <c r="C5022" t="s">
        <v>7</v>
      </c>
      <c r="D5022" t="str">
        <f t="shared" si="181"/>
        <v>562106</v>
      </c>
      <c r="E5022" t="s">
        <v>5280</v>
      </c>
      <c r="F5022" t="s">
        <v>9</v>
      </c>
    </row>
    <row r="5023" spans="1:6" x14ac:dyDescent="0.25">
      <c r="A5023" t="str">
        <f>"27011437"</f>
        <v>27011437</v>
      </c>
      <c r="B5023" t="s">
        <v>5287</v>
      </c>
      <c r="C5023" t="s">
        <v>7</v>
      </c>
      <c r="D5023" t="str">
        <f t="shared" si="181"/>
        <v>562106</v>
      </c>
      <c r="E5023" t="s">
        <v>5280</v>
      </c>
      <c r="F5023" t="s">
        <v>9</v>
      </c>
    </row>
    <row r="5024" spans="1:6" x14ac:dyDescent="0.25">
      <c r="A5024" t="str">
        <f>"02761491"</f>
        <v>02761491</v>
      </c>
      <c r="B5024" t="s">
        <v>5288</v>
      </c>
      <c r="C5024" t="s">
        <v>7</v>
      </c>
      <c r="D5024" t="str">
        <f t="shared" ref="D5024:D5046" si="182">"544477"</f>
        <v>544477</v>
      </c>
      <c r="E5024" t="s">
        <v>5289</v>
      </c>
      <c r="F5024" t="s">
        <v>11</v>
      </c>
    </row>
    <row r="5025" spans="1:6" x14ac:dyDescent="0.25">
      <c r="A5025" t="str">
        <f>"01434951"</f>
        <v>01434951</v>
      </c>
      <c r="B5025" t="s">
        <v>5290</v>
      </c>
      <c r="C5025" t="s">
        <v>7</v>
      </c>
      <c r="D5025" t="str">
        <f t="shared" si="182"/>
        <v>544477</v>
      </c>
      <c r="E5025" t="s">
        <v>5289</v>
      </c>
      <c r="F5025" t="s">
        <v>62</v>
      </c>
    </row>
    <row r="5026" spans="1:6" x14ac:dyDescent="0.25">
      <c r="A5026" t="str">
        <f>"26598639"</f>
        <v>26598639</v>
      </c>
      <c r="B5026" t="s">
        <v>5291</v>
      </c>
      <c r="C5026" t="s">
        <v>7</v>
      </c>
      <c r="D5026" t="str">
        <f t="shared" si="182"/>
        <v>544477</v>
      </c>
      <c r="E5026" t="s">
        <v>5289</v>
      </c>
      <c r="F5026" t="s">
        <v>11</v>
      </c>
    </row>
    <row r="5027" spans="1:6" x14ac:dyDescent="0.25">
      <c r="A5027" t="str">
        <f>"03884350"</f>
        <v>03884350</v>
      </c>
      <c r="B5027" t="s">
        <v>5292</v>
      </c>
      <c r="C5027" t="s">
        <v>7</v>
      </c>
      <c r="D5027" t="str">
        <f t="shared" si="182"/>
        <v>544477</v>
      </c>
      <c r="E5027" t="s">
        <v>5289</v>
      </c>
      <c r="F5027" t="s">
        <v>62</v>
      </c>
    </row>
    <row r="5028" spans="1:6" x14ac:dyDescent="0.25">
      <c r="A5028" t="str">
        <f>"64040674"</f>
        <v>64040674</v>
      </c>
      <c r="B5028" t="s">
        <v>5293</v>
      </c>
      <c r="C5028" t="s">
        <v>15</v>
      </c>
      <c r="D5028" t="str">
        <f t="shared" si="182"/>
        <v>544477</v>
      </c>
      <c r="E5028" t="s">
        <v>5289</v>
      </c>
      <c r="F5028" t="s">
        <v>62</v>
      </c>
    </row>
    <row r="5029" spans="1:6" x14ac:dyDescent="0.25">
      <c r="A5029" t="str">
        <f>"70226164"</f>
        <v>70226164</v>
      </c>
      <c r="B5029" t="s">
        <v>5294</v>
      </c>
      <c r="C5029" t="s">
        <v>7</v>
      </c>
      <c r="D5029" t="str">
        <f t="shared" si="182"/>
        <v>544477</v>
      </c>
      <c r="E5029" t="s">
        <v>5289</v>
      </c>
      <c r="F5029" t="s">
        <v>65</v>
      </c>
    </row>
    <row r="5030" spans="1:6" x14ac:dyDescent="0.25">
      <c r="A5030" t="str">
        <f>"71166408"</f>
        <v>71166408</v>
      </c>
      <c r="B5030" t="s">
        <v>5295</v>
      </c>
      <c r="C5030" t="s">
        <v>37</v>
      </c>
      <c r="D5030" t="str">
        <f t="shared" si="182"/>
        <v>544477</v>
      </c>
      <c r="E5030" t="s">
        <v>5289</v>
      </c>
      <c r="F5030" t="s">
        <v>38</v>
      </c>
    </row>
    <row r="5031" spans="1:6" x14ac:dyDescent="0.25">
      <c r="A5031" t="str">
        <f>"22684301"</f>
        <v>22684301</v>
      </c>
      <c r="B5031" t="s">
        <v>5296</v>
      </c>
      <c r="C5031" t="s">
        <v>7</v>
      </c>
      <c r="D5031" t="str">
        <f t="shared" si="182"/>
        <v>544477</v>
      </c>
      <c r="E5031" t="s">
        <v>5289</v>
      </c>
      <c r="F5031" t="s">
        <v>11</v>
      </c>
    </row>
    <row r="5032" spans="1:6" x14ac:dyDescent="0.25">
      <c r="A5032" t="str">
        <f>"26682010"</f>
        <v>26682010</v>
      </c>
      <c r="B5032" t="s">
        <v>5297</v>
      </c>
      <c r="C5032" t="s">
        <v>7</v>
      </c>
      <c r="D5032" t="str">
        <f t="shared" si="182"/>
        <v>544477</v>
      </c>
      <c r="E5032" t="s">
        <v>5289</v>
      </c>
      <c r="F5032" t="s">
        <v>11</v>
      </c>
    </row>
    <row r="5033" spans="1:6" x14ac:dyDescent="0.25">
      <c r="A5033" t="str">
        <f>"22731997"</f>
        <v>22731997</v>
      </c>
      <c r="B5033" t="s">
        <v>5298</v>
      </c>
      <c r="C5033" t="s">
        <v>7</v>
      </c>
      <c r="D5033" t="str">
        <f t="shared" si="182"/>
        <v>544477</v>
      </c>
      <c r="E5033" t="s">
        <v>5289</v>
      </c>
      <c r="F5033" t="s">
        <v>11</v>
      </c>
    </row>
    <row r="5034" spans="1:6" x14ac:dyDescent="0.25">
      <c r="A5034" t="str">
        <f>"26628210"</f>
        <v>26628210</v>
      </c>
      <c r="B5034" t="s">
        <v>5299</v>
      </c>
      <c r="C5034" t="s">
        <v>7</v>
      </c>
      <c r="D5034" t="str">
        <f t="shared" si="182"/>
        <v>544477</v>
      </c>
      <c r="E5034" t="s">
        <v>5289</v>
      </c>
      <c r="F5034" t="s">
        <v>38</v>
      </c>
    </row>
    <row r="5035" spans="1:6" x14ac:dyDescent="0.25">
      <c r="A5035" t="str">
        <f>"26619598"</f>
        <v>26619598</v>
      </c>
      <c r="B5035" t="s">
        <v>5300</v>
      </c>
      <c r="C5035" t="s">
        <v>7</v>
      </c>
      <c r="D5035" t="str">
        <f t="shared" si="182"/>
        <v>544477</v>
      </c>
      <c r="E5035" t="s">
        <v>5289</v>
      </c>
      <c r="F5035" t="s">
        <v>38</v>
      </c>
    </row>
    <row r="5036" spans="1:6" x14ac:dyDescent="0.25">
      <c r="A5036" t="str">
        <f>"28751281"</f>
        <v>28751281</v>
      </c>
      <c r="B5036" t="s">
        <v>5301</v>
      </c>
      <c r="C5036" t="s">
        <v>124</v>
      </c>
      <c r="D5036" t="str">
        <f t="shared" si="182"/>
        <v>544477</v>
      </c>
      <c r="E5036" t="s">
        <v>5289</v>
      </c>
      <c r="F5036" t="s">
        <v>13</v>
      </c>
    </row>
    <row r="5037" spans="1:6" x14ac:dyDescent="0.25">
      <c r="A5037" t="str">
        <f>"22841784"</f>
        <v>22841784</v>
      </c>
      <c r="B5037" t="s">
        <v>5302</v>
      </c>
      <c r="C5037" t="s">
        <v>7</v>
      </c>
      <c r="D5037" t="str">
        <f t="shared" si="182"/>
        <v>544477</v>
      </c>
      <c r="E5037" t="s">
        <v>5289</v>
      </c>
      <c r="F5037" t="s">
        <v>137</v>
      </c>
    </row>
    <row r="5038" spans="1:6" x14ac:dyDescent="0.25">
      <c r="A5038" t="str">
        <f>"64039251"</f>
        <v>64039251</v>
      </c>
      <c r="B5038" t="s">
        <v>5303</v>
      </c>
      <c r="C5038" t="s">
        <v>15</v>
      </c>
      <c r="D5038" t="str">
        <f t="shared" si="182"/>
        <v>544477</v>
      </c>
      <c r="E5038" t="s">
        <v>5289</v>
      </c>
      <c r="F5038" t="s">
        <v>16</v>
      </c>
    </row>
    <row r="5039" spans="1:6" x14ac:dyDescent="0.25">
      <c r="A5039" t="str">
        <f>"22754750"</f>
        <v>22754750</v>
      </c>
      <c r="B5039" t="s">
        <v>5304</v>
      </c>
      <c r="C5039" t="s">
        <v>7</v>
      </c>
      <c r="D5039" t="str">
        <f t="shared" si="182"/>
        <v>544477</v>
      </c>
      <c r="E5039" t="s">
        <v>5289</v>
      </c>
      <c r="F5039" t="s">
        <v>11</v>
      </c>
    </row>
    <row r="5040" spans="1:6" x14ac:dyDescent="0.25">
      <c r="A5040" t="str">
        <f>"04634853"</f>
        <v>04634853</v>
      </c>
      <c r="B5040" t="s">
        <v>5305</v>
      </c>
      <c r="C5040" t="s">
        <v>7</v>
      </c>
      <c r="D5040" t="str">
        <f t="shared" si="182"/>
        <v>544477</v>
      </c>
      <c r="E5040" t="s">
        <v>5289</v>
      </c>
      <c r="F5040" t="s">
        <v>11</v>
      </c>
    </row>
    <row r="5041" spans="1:6" x14ac:dyDescent="0.25">
      <c r="A5041" t="str">
        <f>"02871343"</f>
        <v>02871343</v>
      </c>
      <c r="B5041" t="s">
        <v>5306</v>
      </c>
      <c r="C5041" t="s">
        <v>7</v>
      </c>
      <c r="D5041" t="str">
        <f t="shared" si="182"/>
        <v>544477</v>
      </c>
      <c r="E5041" t="s">
        <v>5289</v>
      </c>
      <c r="F5041" t="s">
        <v>11</v>
      </c>
    </row>
    <row r="5042" spans="1:6" x14ac:dyDescent="0.25">
      <c r="A5042" t="str">
        <f>"10696903"</f>
        <v>10696903</v>
      </c>
      <c r="B5042" t="s">
        <v>5307</v>
      </c>
      <c r="C5042" t="s">
        <v>7</v>
      </c>
      <c r="D5042" t="str">
        <f t="shared" si="182"/>
        <v>544477</v>
      </c>
      <c r="E5042" t="s">
        <v>5289</v>
      </c>
      <c r="F5042" t="s">
        <v>11</v>
      </c>
    </row>
    <row r="5043" spans="1:6" x14ac:dyDescent="0.25">
      <c r="A5043" t="str">
        <f>"46744321"</f>
        <v>46744321</v>
      </c>
      <c r="B5043" t="s">
        <v>5308</v>
      </c>
      <c r="C5043" t="s">
        <v>7</v>
      </c>
      <c r="D5043" t="str">
        <f t="shared" si="182"/>
        <v>544477</v>
      </c>
      <c r="E5043" t="s">
        <v>5289</v>
      </c>
      <c r="F5043" t="s">
        <v>9</v>
      </c>
    </row>
    <row r="5044" spans="1:6" x14ac:dyDescent="0.25">
      <c r="A5044" t="str">
        <f>"68455879"</f>
        <v>68455879</v>
      </c>
      <c r="B5044" t="s">
        <v>5309</v>
      </c>
      <c r="C5044" t="s">
        <v>15</v>
      </c>
      <c r="D5044" t="str">
        <f t="shared" si="182"/>
        <v>544477</v>
      </c>
      <c r="E5044" t="s">
        <v>5289</v>
      </c>
      <c r="F5044" t="s">
        <v>29</v>
      </c>
    </row>
    <row r="5045" spans="1:6" x14ac:dyDescent="0.25">
      <c r="A5045" t="str">
        <f>"68455763"</f>
        <v>68455763</v>
      </c>
      <c r="B5045" t="s">
        <v>5310</v>
      </c>
      <c r="C5045" t="s">
        <v>15</v>
      </c>
      <c r="D5045" t="str">
        <f t="shared" si="182"/>
        <v>544477</v>
      </c>
      <c r="E5045" t="s">
        <v>5289</v>
      </c>
      <c r="F5045" t="s">
        <v>29</v>
      </c>
    </row>
    <row r="5046" spans="1:6" x14ac:dyDescent="0.25">
      <c r="A5046" t="str">
        <f>"21255971"</f>
        <v>21255971</v>
      </c>
      <c r="B5046" t="s">
        <v>5311</v>
      </c>
      <c r="C5046" t="s">
        <v>20</v>
      </c>
      <c r="D5046" t="str">
        <f t="shared" si="182"/>
        <v>544477</v>
      </c>
      <c r="E5046" t="s">
        <v>5289</v>
      </c>
      <c r="F5046" t="s">
        <v>21</v>
      </c>
    </row>
    <row r="5047" spans="1:6" x14ac:dyDescent="0.25">
      <c r="A5047" t="str">
        <f>"27055787"</f>
        <v>27055787</v>
      </c>
      <c r="B5047" t="s">
        <v>5312</v>
      </c>
      <c r="C5047" t="s">
        <v>7</v>
      </c>
      <c r="D5047" t="str">
        <f t="shared" ref="D5047:D5078" si="183">"562092"</f>
        <v>562092</v>
      </c>
      <c r="E5047" t="s">
        <v>5313</v>
      </c>
      <c r="F5047" t="s">
        <v>11</v>
      </c>
    </row>
    <row r="5048" spans="1:6" x14ac:dyDescent="0.25">
      <c r="A5048" t="str">
        <f>"70200203"</f>
        <v>70200203</v>
      </c>
      <c r="B5048" t="s">
        <v>5314</v>
      </c>
      <c r="C5048" t="s">
        <v>7</v>
      </c>
      <c r="D5048" t="str">
        <f t="shared" si="183"/>
        <v>562092</v>
      </c>
      <c r="E5048" t="s">
        <v>5313</v>
      </c>
      <c r="F5048" t="s">
        <v>11</v>
      </c>
    </row>
    <row r="5049" spans="1:6" x14ac:dyDescent="0.25">
      <c r="A5049" t="str">
        <f>"22838627"</f>
        <v>22838627</v>
      </c>
      <c r="B5049" t="s">
        <v>5315</v>
      </c>
      <c r="C5049" t="s">
        <v>7</v>
      </c>
      <c r="D5049" t="str">
        <f t="shared" si="183"/>
        <v>562092</v>
      </c>
      <c r="E5049" t="s">
        <v>5313</v>
      </c>
      <c r="F5049" t="s">
        <v>11</v>
      </c>
    </row>
    <row r="5050" spans="1:6" x14ac:dyDescent="0.25">
      <c r="A5050" t="str">
        <f>"07975562"</f>
        <v>07975562</v>
      </c>
      <c r="B5050" t="s">
        <v>5316</v>
      </c>
      <c r="C5050" t="s">
        <v>7</v>
      </c>
      <c r="D5050" t="str">
        <f t="shared" si="183"/>
        <v>562092</v>
      </c>
      <c r="E5050" t="s">
        <v>5313</v>
      </c>
      <c r="F5050" t="s">
        <v>29</v>
      </c>
    </row>
    <row r="5051" spans="1:6" x14ac:dyDescent="0.25">
      <c r="A5051" t="str">
        <f>"22883142"</f>
        <v>22883142</v>
      </c>
      <c r="B5051" t="s">
        <v>5317</v>
      </c>
      <c r="C5051" t="s">
        <v>15</v>
      </c>
      <c r="D5051" t="str">
        <f t="shared" si="183"/>
        <v>562092</v>
      </c>
      <c r="E5051" t="s">
        <v>5313</v>
      </c>
      <c r="F5051" t="s">
        <v>11</v>
      </c>
    </row>
    <row r="5052" spans="1:6" x14ac:dyDescent="0.25">
      <c r="A5052" t="str">
        <f>"00482790"</f>
        <v>00482790</v>
      </c>
      <c r="B5052" t="s">
        <v>5318</v>
      </c>
      <c r="C5052" t="s">
        <v>15</v>
      </c>
      <c r="D5052" t="str">
        <f t="shared" si="183"/>
        <v>562092</v>
      </c>
      <c r="E5052" t="s">
        <v>5313</v>
      </c>
      <c r="F5052" t="s">
        <v>11</v>
      </c>
    </row>
    <row r="5053" spans="1:6" x14ac:dyDescent="0.25">
      <c r="A5053" t="str">
        <f>"69411557"</f>
        <v>69411557</v>
      </c>
      <c r="B5053" t="s">
        <v>5319</v>
      </c>
      <c r="C5053" t="s">
        <v>15</v>
      </c>
      <c r="D5053" t="str">
        <f t="shared" si="183"/>
        <v>562092</v>
      </c>
      <c r="E5053" t="s">
        <v>5313</v>
      </c>
      <c r="F5053" t="s">
        <v>29</v>
      </c>
    </row>
    <row r="5054" spans="1:6" x14ac:dyDescent="0.25">
      <c r="A5054" t="str">
        <f>"62237306"</f>
        <v>62237306</v>
      </c>
      <c r="B5054" t="s">
        <v>5320</v>
      </c>
      <c r="C5054" t="s">
        <v>15</v>
      </c>
      <c r="D5054" t="str">
        <f t="shared" si="183"/>
        <v>562092</v>
      </c>
      <c r="E5054" t="s">
        <v>5313</v>
      </c>
      <c r="F5054" t="s">
        <v>29</v>
      </c>
    </row>
    <row r="5055" spans="1:6" x14ac:dyDescent="0.25">
      <c r="A5055" t="str">
        <f>"03748421"</f>
        <v>03748421</v>
      </c>
      <c r="B5055" t="s">
        <v>5321</v>
      </c>
      <c r="C5055" t="s">
        <v>7</v>
      </c>
      <c r="D5055" t="str">
        <f t="shared" si="183"/>
        <v>562092</v>
      </c>
      <c r="E5055" t="s">
        <v>5313</v>
      </c>
      <c r="F5055" t="s">
        <v>11</v>
      </c>
    </row>
    <row r="5056" spans="1:6" x14ac:dyDescent="0.25">
      <c r="A5056" t="str">
        <f>"41329783"</f>
        <v>41329783</v>
      </c>
      <c r="B5056" t="s">
        <v>5322</v>
      </c>
      <c r="C5056" t="s">
        <v>7</v>
      </c>
      <c r="D5056" t="str">
        <f t="shared" si="183"/>
        <v>562092</v>
      </c>
      <c r="E5056" t="s">
        <v>5313</v>
      </c>
      <c r="F5056" t="s">
        <v>9</v>
      </c>
    </row>
    <row r="5057" spans="1:6" x14ac:dyDescent="0.25">
      <c r="A5057" t="str">
        <f>"44556926"</f>
        <v>44556926</v>
      </c>
      <c r="B5057" t="s">
        <v>5323</v>
      </c>
      <c r="C5057" t="s">
        <v>7</v>
      </c>
      <c r="D5057" t="str">
        <f t="shared" si="183"/>
        <v>562092</v>
      </c>
      <c r="E5057" t="s">
        <v>5313</v>
      </c>
      <c r="F5057" t="s">
        <v>11</v>
      </c>
    </row>
    <row r="5058" spans="1:6" x14ac:dyDescent="0.25">
      <c r="A5058" t="str">
        <f>"22757902"</f>
        <v>22757902</v>
      </c>
      <c r="B5058" t="s">
        <v>5324</v>
      </c>
      <c r="C5058" t="s">
        <v>7</v>
      </c>
      <c r="D5058" t="str">
        <f t="shared" si="183"/>
        <v>562092</v>
      </c>
      <c r="E5058" t="s">
        <v>5313</v>
      </c>
      <c r="F5058" t="s">
        <v>11</v>
      </c>
    </row>
    <row r="5059" spans="1:6" x14ac:dyDescent="0.25">
      <c r="A5059" t="str">
        <f>"48283045"</f>
        <v>48283045</v>
      </c>
      <c r="B5059" t="s">
        <v>5325</v>
      </c>
      <c r="C5059" t="s">
        <v>7</v>
      </c>
      <c r="D5059" t="str">
        <f t="shared" si="183"/>
        <v>562092</v>
      </c>
      <c r="E5059" t="s">
        <v>5313</v>
      </c>
      <c r="F5059" t="s">
        <v>9</v>
      </c>
    </row>
    <row r="5060" spans="1:6" x14ac:dyDescent="0.25">
      <c r="A5060" t="str">
        <f>"07753705"</f>
        <v>07753705</v>
      </c>
      <c r="B5060" t="s">
        <v>5326</v>
      </c>
      <c r="C5060" t="s">
        <v>7</v>
      </c>
      <c r="D5060" t="str">
        <f t="shared" si="183"/>
        <v>562092</v>
      </c>
      <c r="E5060" t="s">
        <v>5313</v>
      </c>
      <c r="F5060" t="s">
        <v>11</v>
      </c>
    </row>
    <row r="5061" spans="1:6" x14ac:dyDescent="0.25">
      <c r="A5061" t="str">
        <f>"41327292"</f>
        <v>41327292</v>
      </c>
      <c r="B5061" t="s">
        <v>5327</v>
      </c>
      <c r="C5061" t="s">
        <v>7</v>
      </c>
      <c r="D5061" t="str">
        <f t="shared" si="183"/>
        <v>562092</v>
      </c>
      <c r="E5061" t="s">
        <v>5313</v>
      </c>
      <c r="F5061" t="s">
        <v>9</v>
      </c>
    </row>
    <row r="5062" spans="1:6" x14ac:dyDescent="0.25">
      <c r="A5062" t="str">
        <f>"75133717"</f>
        <v>75133717</v>
      </c>
      <c r="B5062" t="s">
        <v>5328</v>
      </c>
      <c r="C5062" t="s">
        <v>7</v>
      </c>
      <c r="D5062" t="str">
        <f t="shared" si="183"/>
        <v>562092</v>
      </c>
      <c r="E5062" t="s">
        <v>5313</v>
      </c>
      <c r="F5062" t="s">
        <v>11</v>
      </c>
    </row>
    <row r="5063" spans="1:6" x14ac:dyDescent="0.25">
      <c r="A5063" t="str">
        <f>"26647761"</f>
        <v>26647761</v>
      </c>
      <c r="B5063" t="s">
        <v>5329</v>
      </c>
      <c r="C5063" t="s">
        <v>7</v>
      </c>
      <c r="D5063" t="str">
        <f t="shared" si="183"/>
        <v>562092</v>
      </c>
      <c r="E5063" t="s">
        <v>5313</v>
      </c>
      <c r="F5063" t="s">
        <v>9</v>
      </c>
    </row>
    <row r="5064" spans="1:6" x14ac:dyDescent="0.25">
      <c r="A5064" t="str">
        <f>"48283118"</f>
        <v>48283118</v>
      </c>
      <c r="B5064" t="s">
        <v>5330</v>
      </c>
      <c r="C5064" t="s">
        <v>7</v>
      </c>
      <c r="D5064" t="str">
        <f t="shared" si="183"/>
        <v>562092</v>
      </c>
      <c r="E5064" t="s">
        <v>5313</v>
      </c>
      <c r="F5064" t="s">
        <v>9</v>
      </c>
    </row>
    <row r="5065" spans="1:6" x14ac:dyDescent="0.25">
      <c r="A5065" t="str">
        <f>"65650051"</f>
        <v>65650051</v>
      </c>
      <c r="B5065" t="s">
        <v>5331</v>
      </c>
      <c r="C5065" t="s">
        <v>7</v>
      </c>
      <c r="D5065" t="str">
        <f t="shared" si="183"/>
        <v>562092</v>
      </c>
      <c r="E5065" t="s">
        <v>5313</v>
      </c>
      <c r="F5065" t="s">
        <v>11</v>
      </c>
    </row>
    <row r="5066" spans="1:6" x14ac:dyDescent="0.25">
      <c r="A5066" t="str">
        <f>"22734759"</f>
        <v>22734759</v>
      </c>
      <c r="B5066" t="s">
        <v>5332</v>
      </c>
      <c r="C5066" t="s">
        <v>7</v>
      </c>
      <c r="D5066" t="str">
        <f t="shared" si="183"/>
        <v>562092</v>
      </c>
      <c r="E5066" t="s">
        <v>5313</v>
      </c>
      <c r="F5066" t="s">
        <v>9</v>
      </c>
    </row>
    <row r="5067" spans="1:6" x14ac:dyDescent="0.25">
      <c r="A5067" t="str">
        <f>"07941455"</f>
        <v>07941455</v>
      </c>
      <c r="B5067" t="s">
        <v>5333</v>
      </c>
      <c r="C5067" t="s">
        <v>20</v>
      </c>
      <c r="D5067" t="str">
        <f t="shared" si="183"/>
        <v>562092</v>
      </c>
      <c r="E5067" t="s">
        <v>5313</v>
      </c>
      <c r="F5067" t="s">
        <v>21</v>
      </c>
    </row>
    <row r="5068" spans="1:6" x14ac:dyDescent="0.25">
      <c r="A5068" t="str">
        <f>"44225598"</f>
        <v>44225598</v>
      </c>
      <c r="B5068" t="s">
        <v>5334</v>
      </c>
      <c r="C5068" t="s">
        <v>20</v>
      </c>
      <c r="D5068" t="str">
        <f t="shared" si="183"/>
        <v>562092</v>
      </c>
      <c r="E5068" t="s">
        <v>5313</v>
      </c>
      <c r="F5068" t="s">
        <v>21</v>
      </c>
    </row>
    <row r="5069" spans="1:6" x14ac:dyDescent="0.25">
      <c r="A5069" t="str">
        <f>"68983590"</f>
        <v>68983590</v>
      </c>
      <c r="B5069" t="s">
        <v>5335</v>
      </c>
      <c r="C5069" t="s">
        <v>15</v>
      </c>
      <c r="D5069" t="str">
        <f t="shared" si="183"/>
        <v>562092</v>
      </c>
      <c r="E5069" t="s">
        <v>5313</v>
      </c>
      <c r="F5069" t="s">
        <v>139</v>
      </c>
    </row>
    <row r="5070" spans="1:6" x14ac:dyDescent="0.25">
      <c r="A5070" t="str">
        <f>"07911076"</f>
        <v>07911076</v>
      </c>
      <c r="B5070" t="s">
        <v>5336</v>
      </c>
      <c r="C5070" t="s">
        <v>43</v>
      </c>
      <c r="D5070" t="str">
        <f t="shared" si="183"/>
        <v>562092</v>
      </c>
      <c r="E5070" t="s">
        <v>5313</v>
      </c>
      <c r="F5070" t="s">
        <v>44</v>
      </c>
    </row>
    <row r="5071" spans="1:6" x14ac:dyDescent="0.25">
      <c r="A5071" t="str">
        <f>"68983808"</f>
        <v>68983808</v>
      </c>
      <c r="B5071" t="s">
        <v>5337</v>
      </c>
      <c r="C5071" t="s">
        <v>7</v>
      </c>
      <c r="D5071" t="str">
        <f t="shared" si="183"/>
        <v>562092</v>
      </c>
      <c r="E5071" t="s">
        <v>5313</v>
      </c>
      <c r="F5071" t="s">
        <v>254</v>
      </c>
    </row>
    <row r="5072" spans="1:6" x14ac:dyDescent="0.25">
      <c r="A5072" t="str">
        <f>"02301164"</f>
        <v>02301164</v>
      </c>
      <c r="B5072" t="s">
        <v>5338</v>
      </c>
      <c r="C5072" t="s">
        <v>7</v>
      </c>
      <c r="D5072" t="str">
        <f t="shared" si="183"/>
        <v>562092</v>
      </c>
      <c r="E5072" t="s">
        <v>5313</v>
      </c>
      <c r="F5072" t="s">
        <v>11</v>
      </c>
    </row>
    <row r="5073" spans="1:6" x14ac:dyDescent="0.25">
      <c r="A5073" t="str">
        <f>"14869781"</f>
        <v>14869781</v>
      </c>
      <c r="B5073" t="s">
        <v>5339</v>
      </c>
      <c r="C5073" t="s">
        <v>20</v>
      </c>
      <c r="D5073" t="str">
        <f t="shared" si="183"/>
        <v>562092</v>
      </c>
      <c r="E5073" t="s">
        <v>5313</v>
      </c>
      <c r="F5073" t="s">
        <v>21</v>
      </c>
    </row>
    <row r="5074" spans="1:6" x14ac:dyDescent="0.25">
      <c r="A5074" t="str">
        <f>"70821585"</f>
        <v>70821585</v>
      </c>
      <c r="B5074" t="s">
        <v>5340</v>
      </c>
      <c r="C5074" t="s">
        <v>7</v>
      </c>
      <c r="D5074" t="str">
        <f t="shared" si="183"/>
        <v>562092</v>
      </c>
      <c r="E5074" t="s">
        <v>5313</v>
      </c>
      <c r="F5074" t="s">
        <v>11</v>
      </c>
    </row>
    <row r="5075" spans="1:6" x14ac:dyDescent="0.25">
      <c r="A5075" t="str">
        <f>"01736043"</f>
        <v>01736043</v>
      </c>
      <c r="B5075" t="s">
        <v>5341</v>
      </c>
      <c r="C5075" t="s">
        <v>7</v>
      </c>
      <c r="D5075" t="str">
        <f t="shared" si="183"/>
        <v>562092</v>
      </c>
      <c r="E5075" t="s">
        <v>5313</v>
      </c>
      <c r="F5075" t="s">
        <v>13</v>
      </c>
    </row>
    <row r="5076" spans="1:6" x14ac:dyDescent="0.25">
      <c r="A5076" t="str">
        <f>"01954890"</f>
        <v>01954890</v>
      </c>
      <c r="B5076" t="s">
        <v>5342</v>
      </c>
      <c r="C5076" t="s">
        <v>7</v>
      </c>
      <c r="D5076" t="str">
        <f t="shared" si="183"/>
        <v>562092</v>
      </c>
      <c r="E5076" t="s">
        <v>5313</v>
      </c>
      <c r="F5076" t="s">
        <v>35</v>
      </c>
    </row>
    <row r="5077" spans="1:6" x14ac:dyDescent="0.25">
      <c r="A5077" t="str">
        <f>"65650191"</f>
        <v>65650191</v>
      </c>
      <c r="B5077" t="s">
        <v>5343</v>
      </c>
      <c r="C5077" t="s">
        <v>15</v>
      </c>
      <c r="D5077" t="str">
        <f t="shared" si="183"/>
        <v>562092</v>
      </c>
      <c r="E5077" t="s">
        <v>5313</v>
      </c>
      <c r="F5077" t="s">
        <v>16</v>
      </c>
    </row>
    <row r="5078" spans="1:6" x14ac:dyDescent="0.25">
      <c r="A5078" t="str">
        <f>"07608683"</f>
        <v>07608683</v>
      </c>
      <c r="B5078" t="s">
        <v>5344</v>
      </c>
      <c r="C5078" t="s">
        <v>7</v>
      </c>
      <c r="D5078" t="str">
        <f t="shared" si="183"/>
        <v>562092</v>
      </c>
      <c r="E5078" t="s">
        <v>5313</v>
      </c>
      <c r="F5078" t="s">
        <v>35</v>
      </c>
    </row>
    <row r="5079" spans="1:6" x14ac:dyDescent="0.25">
      <c r="A5079" t="str">
        <f>"22830073"</f>
        <v>22830073</v>
      </c>
      <c r="B5079" t="s">
        <v>5345</v>
      </c>
      <c r="C5079" t="s">
        <v>7</v>
      </c>
      <c r="D5079" t="str">
        <f t="shared" ref="D5079:D5095" si="184">"562092"</f>
        <v>562092</v>
      </c>
      <c r="E5079" t="s">
        <v>5313</v>
      </c>
      <c r="F5079" t="s">
        <v>9</v>
      </c>
    </row>
    <row r="5080" spans="1:6" x14ac:dyDescent="0.25">
      <c r="A5080" t="str">
        <f>"68299877"</f>
        <v>68299877</v>
      </c>
      <c r="B5080" t="s">
        <v>5346</v>
      </c>
      <c r="C5080" t="s">
        <v>7</v>
      </c>
      <c r="D5080" t="str">
        <f t="shared" si="184"/>
        <v>562092</v>
      </c>
      <c r="E5080" t="s">
        <v>5313</v>
      </c>
      <c r="F5080" t="s">
        <v>35</v>
      </c>
    </row>
    <row r="5081" spans="1:6" x14ac:dyDescent="0.25">
      <c r="A5081" t="str">
        <f>"70226971"</f>
        <v>70226971</v>
      </c>
      <c r="B5081" t="s">
        <v>5347</v>
      </c>
      <c r="C5081" t="s">
        <v>7</v>
      </c>
      <c r="D5081" t="str">
        <f t="shared" si="184"/>
        <v>562092</v>
      </c>
      <c r="E5081" t="s">
        <v>5313</v>
      </c>
      <c r="F5081" t="s">
        <v>35</v>
      </c>
    </row>
    <row r="5082" spans="1:6" x14ac:dyDescent="0.25">
      <c r="A5082" t="str">
        <f>"22606386"</f>
        <v>22606386</v>
      </c>
      <c r="B5082" t="s">
        <v>5348</v>
      </c>
      <c r="C5082" t="s">
        <v>7</v>
      </c>
      <c r="D5082" t="str">
        <f t="shared" si="184"/>
        <v>562092</v>
      </c>
      <c r="E5082" t="s">
        <v>5313</v>
      </c>
      <c r="F5082" t="s">
        <v>11</v>
      </c>
    </row>
    <row r="5083" spans="1:6" x14ac:dyDescent="0.25">
      <c r="A5083" t="str">
        <f>"04120329"</f>
        <v>04120329</v>
      </c>
      <c r="B5083" t="s">
        <v>5349</v>
      </c>
      <c r="C5083" t="s">
        <v>7</v>
      </c>
      <c r="D5083" t="str">
        <f t="shared" si="184"/>
        <v>562092</v>
      </c>
      <c r="E5083" t="s">
        <v>5313</v>
      </c>
      <c r="F5083" t="s">
        <v>11</v>
      </c>
    </row>
    <row r="5084" spans="1:6" x14ac:dyDescent="0.25">
      <c r="A5084" t="str">
        <f>"22725083"</f>
        <v>22725083</v>
      </c>
      <c r="B5084" t="s">
        <v>5350</v>
      </c>
      <c r="C5084" t="s">
        <v>7</v>
      </c>
      <c r="D5084" t="str">
        <f t="shared" si="184"/>
        <v>562092</v>
      </c>
      <c r="E5084" t="s">
        <v>5313</v>
      </c>
      <c r="F5084" t="s">
        <v>139</v>
      </c>
    </row>
    <row r="5085" spans="1:6" x14ac:dyDescent="0.25">
      <c r="A5085" t="str">
        <f>"43227139"</f>
        <v>43227139</v>
      </c>
      <c r="B5085" t="s">
        <v>5351</v>
      </c>
      <c r="C5085" t="s">
        <v>7</v>
      </c>
      <c r="D5085" t="str">
        <f t="shared" si="184"/>
        <v>562092</v>
      </c>
      <c r="E5085" t="s">
        <v>5313</v>
      </c>
      <c r="F5085" t="s">
        <v>9</v>
      </c>
    </row>
    <row r="5086" spans="1:6" x14ac:dyDescent="0.25">
      <c r="A5086" t="str">
        <f>"40233286"</f>
        <v>40233286</v>
      </c>
      <c r="B5086" t="s">
        <v>5352</v>
      </c>
      <c r="C5086" t="s">
        <v>7</v>
      </c>
      <c r="D5086" t="str">
        <f t="shared" si="184"/>
        <v>562092</v>
      </c>
      <c r="E5086" t="s">
        <v>5313</v>
      </c>
      <c r="F5086" t="s">
        <v>65</v>
      </c>
    </row>
    <row r="5087" spans="1:6" x14ac:dyDescent="0.25">
      <c r="A5087" t="str">
        <f>"00671321"</f>
        <v>00671321</v>
      </c>
      <c r="B5087" t="s">
        <v>5353</v>
      </c>
      <c r="C5087" t="s">
        <v>7</v>
      </c>
      <c r="D5087" t="str">
        <f t="shared" si="184"/>
        <v>562092</v>
      </c>
      <c r="E5087" t="s">
        <v>5313</v>
      </c>
      <c r="F5087" t="s">
        <v>9</v>
      </c>
    </row>
    <row r="5088" spans="1:6" x14ac:dyDescent="0.25">
      <c r="A5088" t="str">
        <f>"06466745"</f>
        <v>06466745</v>
      </c>
      <c r="B5088" t="s">
        <v>5354</v>
      </c>
      <c r="C5088" t="s">
        <v>7</v>
      </c>
      <c r="D5088" t="str">
        <f t="shared" si="184"/>
        <v>562092</v>
      </c>
      <c r="E5088" t="s">
        <v>5313</v>
      </c>
      <c r="F5088" t="s">
        <v>62</v>
      </c>
    </row>
    <row r="5089" spans="1:6" x14ac:dyDescent="0.25">
      <c r="A5089" t="str">
        <f>"22871543"</f>
        <v>22871543</v>
      </c>
      <c r="B5089" t="s">
        <v>5355</v>
      </c>
      <c r="C5089" t="s">
        <v>7</v>
      </c>
      <c r="D5089" t="str">
        <f t="shared" si="184"/>
        <v>562092</v>
      </c>
      <c r="E5089" t="s">
        <v>5313</v>
      </c>
      <c r="F5089" t="s">
        <v>139</v>
      </c>
    </row>
    <row r="5090" spans="1:6" x14ac:dyDescent="0.25">
      <c r="A5090" t="str">
        <f>"27284506"</f>
        <v>27284506</v>
      </c>
      <c r="B5090" t="s">
        <v>5356</v>
      </c>
      <c r="C5090" t="s">
        <v>78</v>
      </c>
      <c r="D5090" t="str">
        <f t="shared" si="184"/>
        <v>562092</v>
      </c>
      <c r="E5090" t="s">
        <v>5313</v>
      </c>
      <c r="F5090" t="s">
        <v>1172</v>
      </c>
    </row>
    <row r="5091" spans="1:6" x14ac:dyDescent="0.25">
      <c r="A5091" t="str">
        <f>"65650352"</f>
        <v>65650352</v>
      </c>
      <c r="B5091" t="s">
        <v>5357</v>
      </c>
      <c r="C5091" t="s">
        <v>20</v>
      </c>
      <c r="D5091" t="str">
        <f t="shared" si="184"/>
        <v>562092</v>
      </c>
      <c r="E5091" t="s">
        <v>5313</v>
      </c>
      <c r="F5091" t="s">
        <v>21</v>
      </c>
    </row>
    <row r="5092" spans="1:6" x14ac:dyDescent="0.25">
      <c r="A5092" t="str">
        <f>"18380531"</f>
        <v>18380531</v>
      </c>
      <c r="B5092" t="s">
        <v>5358</v>
      </c>
      <c r="C5092" t="s">
        <v>20</v>
      </c>
      <c r="D5092" t="str">
        <f t="shared" si="184"/>
        <v>562092</v>
      </c>
      <c r="E5092" t="s">
        <v>5313</v>
      </c>
      <c r="F5092" t="s">
        <v>21</v>
      </c>
    </row>
    <row r="5093" spans="1:6" x14ac:dyDescent="0.25">
      <c r="A5093" t="str">
        <f>"22742573"</f>
        <v>22742573</v>
      </c>
      <c r="B5093" t="s">
        <v>5359</v>
      </c>
      <c r="C5093" t="s">
        <v>20</v>
      </c>
      <c r="D5093" t="str">
        <f t="shared" si="184"/>
        <v>562092</v>
      </c>
      <c r="E5093" t="s">
        <v>5313</v>
      </c>
      <c r="F5093" t="s">
        <v>21</v>
      </c>
    </row>
    <row r="5094" spans="1:6" x14ac:dyDescent="0.25">
      <c r="A5094" t="str">
        <f>"47072962"</f>
        <v>47072962</v>
      </c>
      <c r="B5094" t="s">
        <v>5360</v>
      </c>
      <c r="C5094" t="s">
        <v>20</v>
      </c>
      <c r="D5094" t="str">
        <f t="shared" si="184"/>
        <v>562092</v>
      </c>
      <c r="E5094" t="s">
        <v>5313</v>
      </c>
      <c r="F5094" t="s">
        <v>21</v>
      </c>
    </row>
    <row r="5095" spans="1:6" x14ac:dyDescent="0.25">
      <c r="A5095" t="str">
        <f>"18380549"</f>
        <v>18380549</v>
      </c>
      <c r="B5095" t="s">
        <v>5361</v>
      </c>
      <c r="C5095" t="s">
        <v>20</v>
      </c>
      <c r="D5095" t="str">
        <f t="shared" si="184"/>
        <v>562092</v>
      </c>
      <c r="E5095" t="s">
        <v>5313</v>
      </c>
      <c r="F5095" t="s">
        <v>21</v>
      </c>
    </row>
    <row r="5096" spans="1:6" x14ac:dyDescent="0.25">
      <c r="A5096" t="str">
        <f>"26586843"</f>
        <v>26586843</v>
      </c>
      <c r="B5096" t="s">
        <v>5362</v>
      </c>
      <c r="C5096" t="s">
        <v>7</v>
      </c>
      <c r="D5096" t="str">
        <f t="shared" ref="D5096:D5117" si="185">"577553"</f>
        <v>577553</v>
      </c>
      <c r="E5096" t="s">
        <v>5363</v>
      </c>
      <c r="F5096" t="s">
        <v>11</v>
      </c>
    </row>
    <row r="5097" spans="1:6" x14ac:dyDescent="0.25">
      <c r="A5097" t="str">
        <f>"45598509"</f>
        <v>45598509</v>
      </c>
      <c r="B5097" t="s">
        <v>5364</v>
      </c>
      <c r="C5097" t="s">
        <v>43</v>
      </c>
      <c r="D5097" t="str">
        <f t="shared" si="185"/>
        <v>577553</v>
      </c>
      <c r="E5097" t="s">
        <v>5363</v>
      </c>
      <c r="F5097" t="s">
        <v>326</v>
      </c>
    </row>
    <row r="5098" spans="1:6" x14ac:dyDescent="0.25">
      <c r="A5098" t="str">
        <f>"05197031"</f>
        <v>05197031</v>
      </c>
      <c r="B5098" t="s">
        <v>5365</v>
      </c>
      <c r="C5098" t="s">
        <v>15</v>
      </c>
      <c r="D5098" t="str">
        <f t="shared" si="185"/>
        <v>577553</v>
      </c>
      <c r="E5098" t="s">
        <v>5363</v>
      </c>
      <c r="F5098" t="s">
        <v>29</v>
      </c>
    </row>
    <row r="5099" spans="1:6" x14ac:dyDescent="0.25">
      <c r="A5099" t="str">
        <f>"45599335"</f>
        <v>45599335</v>
      </c>
      <c r="B5099" t="s">
        <v>5366</v>
      </c>
      <c r="C5099" t="s">
        <v>37</v>
      </c>
      <c r="D5099" t="str">
        <f t="shared" si="185"/>
        <v>577553</v>
      </c>
      <c r="E5099" t="s">
        <v>5363</v>
      </c>
      <c r="F5099" t="s">
        <v>38</v>
      </c>
    </row>
    <row r="5100" spans="1:6" x14ac:dyDescent="0.25">
      <c r="A5100" t="str">
        <f>"71153349"</f>
        <v>71153349</v>
      </c>
      <c r="B5100" t="s">
        <v>5367</v>
      </c>
      <c r="C5100" t="s">
        <v>37</v>
      </c>
      <c r="D5100" t="str">
        <f t="shared" si="185"/>
        <v>577553</v>
      </c>
      <c r="E5100" t="s">
        <v>5363</v>
      </c>
      <c r="F5100" t="s">
        <v>38</v>
      </c>
    </row>
    <row r="5101" spans="1:6" x14ac:dyDescent="0.25">
      <c r="A5101" t="str">
        <f>"71158162"</f>
        <v>71158162</v>
      </c>
      <c r="B5101" t="s">
        <v>5368</v>
      </c>
      <c r="C5101" t="s">
        <v>37</v>
      </c>
      <c r="D5101" t="str">
        <f t="shared" si="185"/>
        <v>577553</v>
      </c>
      <c r="E5101" t="s">
        <v>5363</v>
      </c>
      <c r="F5101" t="s">
        <v>38</v>
      </c>
    </row>
    <row r="5102" spans="1:6" x14ac:dyDescent="0.25">
      <c r="A5102" t="str">
        <f>"45599980"</f>
        <v>45599980</v>
      </c>
      <c r="B5102" t="s">
        <v>5369</v>
      </c>
      <c r="C5102" t="s">
        <v>7</v>
      </c>
      <c r="D5102" t="str">
        <f t="shared" si="185"/>
        <v>577553</v>
      </c>
      <c r="E5102" t="s">
        <v>5363</v>
      </c>
      <c r="F5102" t="s">
        <v>38</v>
      </c>
    </row>
    <row r="5103" spans="1:6" x14ac:dyDescent="0.25">
      <c r="A5103" t="str">
        <f>"62014846"</f>
        <v>62014846</v>
      </c>
      <c r="B5103" t="s">
        <v>5370</v>
      </c>
      <c r="C5103" t="s">
        <v>15</v>
      </c>
      <c r="D5103" t="str">
        <f t="shared" si="185"/>
        <v>577553</v>
      </c>
      <c r="E5103" t="s">
        <v>5363</v>
      </c>
      <c r="F5103" t="s">
        <v>65</v>
      </c>
    </row>
    <row r="5104" spans="1:6" x14ac:dyDescent="0.25">
      <c r="A5104" t="str">
        <f>"65735285"</f>
        <v>65735285</v>
      </c>
      <c r="B5104" t="s">
        <v>5371</v>
      </c>
      <c r="C5104" t="s">
        <v>20</v>
      </c>
      <c r="D5104" t="str">
        <f t="shared" si="185"/>
        <v>577553</v>
      </c>
      <c r="E5104" t="s">
        <v>5363</v>
      </c>
      <c r="F5104" t="s">
        <v>21</v>
      </c>
    </row>
    <row r="5105" spans="1:6" x14ac:dyDescent="0.25">
      <c r="A5105" t="str">
        <f>"15045421"</f>
        <v>15045421</v>
      </c>
      <c r="B5105" t="s">
        <v>5372</v>
      </c>
      <c r="C5105" t="s">
        <v>7</v>
      </c>
      <c r="D5105" t="str">
        <f t="shared" si="185"/>
        <v>577553</v>
      </c>
      <c r="E5105" t="s">
        <v>5363</v>
      </c>
      <c r="F5105" t="s">
        <v>11</v>
      </c>
    </row>
    <row r="5106" spans="1:6" x14ac:dyDescent="0.25">
      <c r="A5106" t="str">
        <f>"49295837"</f>
        <v>49295837</v>
      </c>
      <c r="B5106" t="s">
        <v>5373</v>
      </c>
      <c r="C5106" t="s">
        <v>43</v>
      </c>
      <c r="D5106" t="str">
        <f t="shared" si="185"/>
        <v>577553</v>
      </c>
      <c r="E5106" t="s">
        <v>5363</v>
      </c>
      <c r="F5106" t="s">
        <v>44</v>
      </c>
    </row>
    <row r="5107" spans="1:6" x14ac:dyDescent="0.25">
      <c r="A5107" t="str">
        <f>"45597626"</f>
        <v>45597626</v>
      </c>
      <c r="B5107" t="s">
        <v>5374</v>
      </c>
      <c r="C5107" t="s">
        <v>43</v>
      </c>
      <c r="D5107" t="str">
        <f t="shared" si="185"/>
        <v>577553</v>
      </c>
      <c r="E5107" t="s">
        <v>5363</v>
      </c>
      <c r="F5107" t="s">
        <v>44</v>
      </c>
    </row>
    <row r="5108" spans="1:6" x14ac:dyDescent="0.25">
      <c r="A5108" t="str">
        <f>"49295845"</f>
        <v>49295845</v>
      </c>
      <c r="B5108" t="s">
        <v>5375</v>
      </c>
      <c r="C5108" t="s">
        <v>43</v>
      </c>
      <c r="D5108" t="str">
        <f t="shared" si="185"/>
        <v>577553</v>
      </c>
      <c r="E5108" t="s">
        <v>5363</v>
      </c>
      <c r="F5108" t="s">
        <v>44</v>
      </c>
    </row>
    <row r="5109" spans="1:6" x14ac:dyDescent="0.25">
      <c r="A5109" t="str">
        <f>"62012975"</f>
        <v>62012975</v>
      </c>
      <c r="B5109" t="s">
        <v>5376</v>
      </c>
      <c r="C5109" t="s">
        <v>15</v>
      </c>
      <c r="D5109" t="str">
        <f t="shared" si="185"/>
        <v>577553</v>
      </c>
      <c r="E5109" t="s">
        <v>5363</v>
      </c>
      <c r="F5109" t="s">
        <v>16</v>
      </c>
    </row>
    <row r="5110" spans="1:6" x14ac:dyDescent="0.25">
      <c r="A5110" t="str">
        <f>"62012908"</f>
        <v>62012908</v>
      </c>
      <c r="B5110" t="s">
        <v>5377</v>
      </c>
      <c r="C5110" t="s">
        <v>15</v>
      </c>
      <c r="D5110" t="str">
        <f t="shared" si="185"/>
        <v>577553</v>
      </c>
      <c r="E5110" t="s">
        <v>5363</v>
      </c>
      <c r="F5110" t="s">
        <v>16</v>
      </c>
    </row>
    <row r="5111" spans="1:6" x14ac:dyDescent="0.25">
      <c r="A5111" t="str">
        <f>"22714243"</f>
        <v>22714243</v>
      </c>
      <c r="B5111" t="s">
        <v>5378</v>
      </c>
      <c r="C5111" t="s">
        <v>7</v>
      </c>
      <c r="D5111" t="str">
        <f t="shared" si="185"/>
        <v>577553</v>
      </c>
      <c r="E5111" t="s">
        <v>5363</v>
      </c>
      <c r="F5111" t="s">
        <v>62</v>
      </c>
    </row>
    <row r="5112" spans="1:6" x14ac:dyDescent="0.25">
      <c r="A5112" t="str">
        <f>"15043991"</f>
        <v>15043991</v>
      </c>
      <c r="B5112" t="s">
        <v>5379</v>
      </c>
      <c r="C5112" t="s">
        <v>7</v>
      </c>
      <c r="D5112" t="str">
        <f t="shared" si="185"/>
        <v>577553</v>
      </c>
      <c r="E5112" t="s">
        <v>5363</v>
      </c>
      <c r="F5112" t="s">
        <v>35</v>
      </c>
    </row>
    <row r="5113" spans="1:6" x14ac:dyDescent="0.25">
      <c r="A5113" t="str">
        <f>"01305697"</f>
        <v>01305697</v>
      </c>
      <c r="B5113" t="s">
        <v>5380</v>
      </c>
      <c r="C5113" t="s">
        <v>7</v>
      </c>
      <c r="D5113" t="str">
        <f t="shared" si="185"/>
        <v>577553</v>
      </c>
      <c r="E5113" t="s">
        <v>5363</v>
      </c>
      <c r="F5113" t="s">
        <v>11</v>
      </c>
    </row>
    <row r="5114" spans="1:6" x14ac:dyDescent="0.25">
      <c r="A5114" t="str">
        <f>"09897518"</f>
        <v>09897518</v>
      </c>
      <c r="B5114" t="s">
        <v>5381</v>
      </c>
      <c r="C5114" t="s">
        <v>7</v>
      </c>
      <c r="D5114" t="str">
        <f t="shared" si="185"/>
        <v>577553</v>
      </c>
      <c r="E5114" t="s">
        <v>5363</v>
      </c>
      <c r="F5114" t="s">
        <v>29</v>
      </c>
    </row>
    <row r="5115" spans="1:6" x14ac:dyDescent="0.25">
      <c r="A5115" t="str">
        <f>"15044238"</f>
        <v>15044238</v>
      </c>
      <c r="B5115" t="s">
        <v>5382</v>
      </c>
      <c r="C5115" t="s">
        <v>15</v>
      </c>
      <c r="D5115" t="str">
        <f t="shared" si="185"/>
        <v>577553</v>
      </c>
      <c r="E5115" t="s">
        <v>5363</v>
      </c>
      <c r="F5115" t="s">
        <v>9</v>
      </c>
    </row>
    <row r="5116" spans="1:6" x14ac:dyDescent="0.25">
      <c r="A5116" t="str">
        <f>"49295683"</f>
        <v>49295683</v>
      </c>
      <c r="B5116" t="s">
        <v>5383</v>
      </c>
      <c r="C5116" t="s">
        <v>7</v>
      </c>
      <c r="D5116" t="str">
        <f t="shared" si="185"/>
        <v>577553</v>
      </c>
      <c r="E5116" t="s">
        <v>5363</v>
      </c>
      <c r="F5116" t="s">
        <v>35</v>
      </c>
    </row>
    <row r="5117" spans="1:6" x14ac:dyDescent="0.25">
      <c r="A5117" t="str">
        <f>"62014625"</f>
        <v>62014625</v>
      </c>
      <c r="B5117" t="s">
        <v>5384</v>
      </c>
      <c r="C5117" t="s">
        <v>7</v>
      </c>
      <c r="D5117" t="str">
        <f t="shared" si="185"/>
        <v>577553</v>
      </c>
      <c r="E5117" t="s">
        <v>5363</v>
      </c>
      <c r="F5117" t="s">
        <v>9</v>
      </c>
    </row>
    <row r="5118" spans="1:6" x14ac:dyDescent="0.25">
      <c r="A5118" t="str">
        <f>"62237250"</f>
        <v>62237250</v>
      </c>
      <c r="B5118" t="s">
        <v>5385</v>
      </c>
      <c r="C5118" t="s">
        <v>7</v>
      </c>
      <c r="D5118" t="str">
        <f>"562114"</f>
        <v>562114</v>
      </c>
      <c r="E5118" t="s">
        <v>5386</v>
      </c>
      <c r="F5118" t="s">
        <v>38</v>
      </c>
    </row>
    <row r="5119" spans="1:6" x14ac:dyDescent="0.25">
      <c r="A5119" t="str">
        <f>"48282294"</f>
        <v>48282294</v>
      </c>
      <c r="B5119" t="s">
        <v>5387</v>
      </c>
      <c r="C5119" t="s">
        <v>7</v>
      </c>
      <c r="D5119" t="str">
        <f>"562114"</f>
        <v>562114</v>
      </c>
      <c r="E5119" t="s">
        <v>5386</v>
      </c>
      <c r="F5119" t="s">
        <v>38</v>
      </c>
    </row>
    <row r="5120" spans="1:6" x14ac:dyDescent="0.25">
      <c r="A5120" t="str">
        <f>"21061131"</f>
        <v>21061131</v>
      </c>
      <c r="B5120" t="s">
        <v>5388</v>
      </c>
      <c r="C5120" t="s">
        <v>7</v>
      </c>
      <c r="D5120" t="str">
        <f>"562114"</f>
        <v>562114</v>
      </c>
      <c r="E5120" t="s">
        <v>5386</v>
      </c>
      <c r="F5120" t="s">
        <v>13</v>
      </c>
    </row>
    <row r="5121" spans="1:6" x14ac:dyDescent="0.25">
      <c r="A5121" t="str">
        <f>"66111137"</f>
        <v>66111137</v>
      </c>
      <c r="B5121" t="s">
        <v>5389</v>
      </c>
      <c r="C5121" t="s">
        <v>7</v>
      </c>
      <c r="D5121" t="str">
        <f>"562114"</f>
        <v>562114</v>
      </c>
      <c r="E5121" t="s">
        <v>5386</v>
      </c>
      <c r="F5121" t="s">
        <v>9</v>
      </c>
    </row>
    <row r="5122" spans="1:6" x14ac:dyDescent="0.25">
      <c r="A5122" t="str">
        <f>"22828656"</f>
        <v>22828656</v>
      </c>
      <c r="B5122" t="s">
        <v>5390</v>
      </c>
      <c r="C5122" t="s">
        <v>7</v>
      </c>
      <c r="D5122" t="str">
        <f>"564435"</f>
        <v>564435</v>
      </c>
      <c r="E5122" t="s">
        <v>5391</v>
      </c>
      <c r="F5122" t="s">
        <v>389</v>
      </c>
    </row>
    <row r="5123" spans="1:6" x14ac:dyDescent="0.25">
      <c r="A5123" t="str">
        <f>"26630168"</f>
        <v>26630168</v>
      </c>
      <c r="B5123" t="s">
        <v>5392</v>
      </c>
      <c r="C5123" t="s">
        <v>7</v>
      </c>
      <c r="D5123" t="str">
        <f>"564435"</f>
        <v>564435</v>
      </c>
      <c r="E5123" t="s">
        <v>5391</v>
      </c>
      <c r="F5123" t="s">
        <v>11</v>
      </c>
    </row>
    <row r="5124" spans="1:6" x14ac:dyDescent="0.25">
      <c r="A5124" t="str">
        <f>"49112104"</f>
        <v>49112104</v>
      </c>
      <c r="B5124" t="s">
        <v>5393</v>
      </c>
      <c r="C5124" t="s">
        <v>15</v>
      </c>
      <c r="D5124" t="str">
        <f>"564435"</f>
        <v>564435</v>
      </c>
      <c r="E5124" t="s">
        <v>5391</v>
      </c>
      <c r="F5124" t="s">
        <v>16</v>
      </c>
    </row>
    <row r="5125" spans="1:6" x14ac:dyDescent="0.25">
      <c r="A5125" t="str">
        <f>"22556605"</f>
        <v>22556605</v>
      </c>
      <c r="B5125" t="s">
        <v>5394</v>
      </c>
      <c r="C5125" t="s">
        <v>7</v>
      </c>
      <c r="D5125" t="str">
        <f>"564435"</f>
        <v>564435</v>
      </c>
      <c r="E5125" t="s">
        <v>5391</v>
      </c>
      <c r="F5125" t="s">
        <v>29</v>
      </c>
    </row>
    <row r="5126" spans="1:6" x14ac:dyDescent="0.25">
      <c r="A5126" t="str">
        <f>"22693351"</f>
        <v>22693351</v>
      </c>
      <c r="B5126" t="s">
        <v>5395</v>
      </c>
      <c r="C5126" t="s">
        <v>7</v>
      </c>
      <c r="D5126" t="str">
        <f>"564435"</f>
        <v>564435</v>
      </c>
      <c r="E5126" t="s">
        <v>5391</v>
      </c>
      <c r="F5126" t="s">
        <v>9</v>
      </c>
    </row>
    <row r="5127" spans="1:6" x14ac:dyDescent="0.25">
      <c r="A5127" t="str">
        <f>"46745726"</f>
        <v>46745726</v>
      </c>
      <c r="B5127" t="s">
        <v>5396</v>
      </c>
      <c r="C5127" t="s">
        <v>7</v>
      </c>
      <c r="D5127" t="str">
        <f>"564443"</f>
        <v>564443</v>
      </c>
      <c r="E5127" t="s">
        <v>5397</v>
      </c>
      <c r="F5127" t="s">
        <v>38</v>
      </c>
    </row>
    <row r="5128" spans="1:6" x14ac:dyDescent="0.25">
      <c r="A5128" t="str">
        <f>"64039064"</f>
        <v>64039064</v>
      </c>
      <c r="B5128" t="s">
        <v>5398</v>
      </c>
      <c r="C5128" t="s">
        <v>15</v>
      </c>
      <c r="D5128" t="str">
        <f>"564443"</f>
        <v>564443</v>
      </c>
      <c r="E5128" t="s">
        <v>5397</v>
      </c>
      <c r="F5128" t="s">
        <v>16</v>
      </c>
    </row>
    <row r="5129" spans="1:6" x14ac:dyDescent="0.25">
      <c r="A5129" t="str">
        <f>"26676354"</f>
        <v>26676354</v>
      </c>
      <c r="B5129" t="s">
        <v>5399</v>
      </c>
      <c r="C5129" t="s">
        <v>7</v>
      </c>
      <c r="D5129" t="str">
        <f>"564443"</f>
        <v>564443</v>
      </c>
      <c r="E5129" t="s">
        <v>5397</v>
      </c>
      <c r="F5129" t="s">
        <v>35</v>
      </c>
    </row>
    <row r="5130" spans="1:6" x14ac:dyDescent="0.25">
      <c r="A5130" t="str">
        <f>"62013394"</f>
        <v>62013394</v>
      </c>
      <c r="B5130" t="s">
        <v>5400</v>
      </c>
      <c r="C5130" t="s">
        <v>15</v>
      </c>
      <c r="D5130" t="str">
        <f>"577561"</f>
        <v>577561</v>
      </c>
      <c r="E5130" t="s">
        <v>5401</v>
      </c>
      <c r="F5130" t="s">
        <v>16</v>
      </c>
    </row>
    <row r="5131" spans="1:6" x14ac:dyDescent="0.25">
      <c r="A5131" t="str">
        <f>"48282065"</f>
        <v>48282065</v>
      </c>
      <c r="B5131" t="s">
        <v>5402</v>
      </c>
      <c r="C5131" t="s">
        <v>7</v>
      </c>
      <c r="D5131" t="str">
        <f t="shared" ref="D5131:D5137" si="186">"546283"</f>
        <v>546283</v>
      </c>
      <c r="E5131" t="s">
        <v>5403</v>
      </c>
      <c r="F5131" t="s">
        <v>38</v>
      </c>
    </row>
    <row r="5132" spans="1:6" x14ac:dyDescent="0.25">
      <c r="A5132" t="str">
        <f>"17249759"</f>
        <v>17249759</v>
      </c>
      <c r="B5132" t="s">
        <v>5404</v>
      </c>
      <c r="C5132" t="s">
        <v>7</v>
      </c>
      <c r="D5132" t="str">
        <f t="shared" si="186"/>
        <v>546283</v>
      </c>
      <c r="E5132" t="s">
        <v>5403</v>
      </c>
      <c r="F5132" t="s">
        <v>11</v>
      </c>
    </row>
    <row r="5133" spans="1:6" x14ac:dyDescent="0.25">
      <c r="A5133" t="str">
        <f>"22758828"</f>
        <v>22758828</v>
      </c>
      <c r="B5133" t="s">
        <v>5405</v>
      </c>
      <c r="C5133" t="s">
        <v>7</v>
      </c>
      <c r="D5133" t="str">
        <f t="shared" si="186"/>
        <v>546283</v>
      </c>
      <c r="E5133" t="s">
        <v>5403</v>
      </c>
      <c r="F5133" t="s">
        <v>11</v>
      </c>
    </row>
    <row r="5134" spans="1:6" x14ac:dyDescent="0.25">
      <c r="A5134" t="str">
        <f>"04351444"</f>
        <v>04351444</v>
      </c>
      <c r="B5134" t="s">
        <v>5406</v>
      </c>
      <c r="C5134" t="s">
        <v>7</v>
      </c>
      <c r="D5134" t="str">
        <f t="shared" si="186"/>
        <v>546283</v>
      </c>
      <c r="E5134" t="s">
        <v>5403</v>
      </c>
      <c r="F5134" t="s">
        <v>13</v>
      </c>
    </row>
    <row r="5135" spans="1:6" x14ac:dyDescent="0.25">
      <c r="A5135" t="str">
        <f>"02985900"</f>
        <v>02985900</v>
      </c>
      <c r="B5135" t="s">
        <v>5407</v>
      </c>
      <c r="C5135" t="s">
        <v>15</v>
      </c>
      <c r="D5135" t="str">
        <f t="shared" si="186"/>
        <v>546283</v>
      </c>
      <c r="E5135" t="s">
        <v>5403</v>
      </c>
      <c r="F5135" t="s">
        <v>16</v>
      </c>
    </row>
    <row r="5136" spans="1:6" x14ac:dyDescent="0.25">
      <c r="A5136" t="str">
        <f>"01829076"</f>
        <v>01829076</v>
      </c>
      <c r="B5136" t="s">
        <v>5408</v>
      </c>
      <c r="C5136" t="s">
        <v>7</v>
      </c>
      <c r="D5136" t="str">
        <f t="shared" si="186"/>
        <v>546283</v>
      </c>
      <c r="E5136" t="s">
        <v>5403</v>
      </c>
      <c r="F5136" t="s">
        <v>35</v>
      </c>
    </row>
    <row r="5137" spans="1:6" x14ac:dyDescent="0.25">
      <c r="A5137" t="str">
        <f>"09302204"</f>
        <v>09302204</v>
      </c>
      <c r="B5137" t="s">
        <v>5409</v>
      </c>
      <c r="C5137" t="s">
        <v>7</v>
      </c>
      <c r="D5137" t="str">
        <f t="shared" si="186"/>
        <v>546283</v>
      </c>
      <c r="E5137" t="s">
        <v>5403</v>
      </c>
      <c r="F5137" t="s">
        <v>865</v>
      </c>
    </row>
    <row r="5138" spans="1:6" x14ac:dyDescent="0.25">
      <c r="A5138" t="str">
        <f>"10854681"</f>
        <v>10854681</v>
      </c>
      <c r="B5138" t="s">
        <v>5410</v>
      </c>
      <c r="C5138" t="s">
        <v>15</v>
      </c>
      <c r="D5138" t="str">
        <f>"562131"</f>
        <v>562131</v>
      </c>
      <c r="E5138" t="s">
        <v>5411</v>
      </c>
      <c r="F5138" t="s">
        <v>139</v>
      </c>
    </row>
    <row r="5139" spans="1:6" x14ac:dyDescent="0.25">
      <c r="A5139" t="str">
        <f>"02311046"</f>
        <v>02311046</v>
      </c>
      <c r="B5139" t="s">
        <v>5412</v>
      </c>
      <c r="C5139" t="s">
        <v>7</v>
      </c>
      <c r="D5139" t="str">
        <f>"562131"</f>
        <v>562131</v>
      </c>
      <c r="E5139" t="s">
        <v>5411</v>
      </c>
      <c r="F5139" t="s">
        <v>11</v>
      </c>
    </row>
    <row r="5140" spans="1:6" x14ac:dyDescent="0.25">
      <c r="A5140" t="str">
        <f>"19969813"</f>
        <v>19969813</v>
      </c>
      <c r="B5140" t="s">
        <v>5413</v>
      </c>
      <c r="C5140" t="s">
        <v>7</v>
      </c>
      <c r="D5140" t="str">
        <f>"562131"</f>
        <v>562131</v>
      </c>
      <c r="E5140" t="s">
        <v>5411</v>
      </c>
      <c r="F5140" t="s">
        <v>29</v>
      </c>
    </row>
    <row r="5141" spans="1:6" x14ac:dyDescent="0.25">
      <c r="A5141" t="str">
        <f>"22848151"</f>
        <v>22848151</v>
      </c>
      <c r="B5141" t="s">
        <v>5414</v>
      </c>
      <c r="C5141" t="s">
        <v>7</v>
      </c>
      <c r="D5141" t="str">
        <f>"562131"</f>
        <v>562131</v>
      </c>
      <c r="E5141" t="s">
        <v>5411</v>
      </c>
      <c r="F5141" t="s">
        <v>35</v>
      </c>
    </row>
    <row r="5142" spans="1:6" x14ac:dyDescent="0.25">
      <c r="A5142" t="str">
        <f>"48283185"</f>
        <v>48283185</v>
      </c>
      <c r="B5142" t="s">
        <v>5415</v>
      </c>
      <c r="C5142" t="s">
        <v>7</v>
      </c>
      <c r="D5142" t="str">
        <f>"562131"</f>
        <v>562131</v>
      </c>
      <c r="E5142" t="s">
        <v>5411</v>
      </c>
      <c r="F5142" t="s">
        <v>9</v>
      </c>
    </row>
    <row r="5143" spans="1:6" x14ac:dyDescent="0.25">
      <c r="A5143" t="str">
        <f>"22858865"</f>
        <v>22858865</v>
      </c>
      <c r="B5143" t="s">
        <v>5416</v>
      </c>
      <c r="C5143" t="s">
        <v>7</v>
      </c>
      <c r="D5143" t="str">
        <f t="shared" ref="D5143:D5160" si="187">"564427"</f>
        <v>564427</v>
      </c>
      <c r="E5143" t="s">
        <v>5417</v>
      </c>
      <c r="F5143" t="s">
        <v>11</v>
      </c>
    </row>
    <row r="5144" spans="1:6" x14ac:dyDescent="0.25">
      <c r="A5144" t="str">
        <f>"26647851"</f>
        <v>26647851</v>
      </c>
      <c r="B5144" t="s">
        <v>5418</v>
      </c>
      <c r="C5144" t="s">
        <v>7</v>
      </c>
      <c r="D5144" t="str">
        <f t="shared" si="187"/>
        <v>564427</v>
      </c>
      <c r="E5144" t="s">
        <v>5417</v>
      </c>
      <c r="F5144" t="s">
        <v>9</v>
      </c>
    </row>
    <row r="5145" spans="1:6" x14ac:dyDescent="0.25">
      <c r="A5145" t="str">
        <f>"71228365"</f>
        <v>71228365</v>
      </c>
      <c r="B5145" t="s">
        <v>5419</v>
      </c>
      <c r="C5145" t="s">
        <v>37</v>
      </c>
      <c r="D5145" t="str">
        <f t="shared" si="187"/>
        <v>564427</v>
      </c>
      <c r="E5145" t="s">
        <v>5417</v>
      </c>
      <c r="F5145" t="s">
        <v>38</v>
      </c>
    </row>
    <row r="5146" spans="1:6" x14ac:dyDescent="0.25">
      <c r="A5146" t="str">
        <f>"66112761"</f>
        <v>66112761</v>
      </c>
      <c r="B5146" t="s">
        <v>5420</v>
      </c>
      <c r="C5146" t="s">
        <v>7</v>
      </c>
      <c r="D5146" t="str">
        <f t="shared" si="187"/>
        <v>564427</v>
      </c>
      <c r="E5146" t="s">
        <v>5417</v>
      </c>
      <c r="F5146" t="s">
        <v>35</v>
      </c>
    </row>
    <row r="5147" spans="1:6" x14ac:dyDescent="0.25">
      <c r="A5147" t="str">
        <f>"24688096"</f>
        <v>24688096</v>
      </c>
      <c r="B5147" t="s">
        <v>5421</v>
      </c>
      <c r="C5147" t="s">
        <v>78</v>
      </c>
      <c r="D5147" t="str">
        <f t="shared" si="187"/>
        <v>564427</v>
      </c>
      <c r="E5147" t="s">
        <v>5417</v>
      </c>
      <c r="F5147" t="s">
        <v>381</v>
      </c>
    </row>
    <row r="5148" spans="1:6" x14ac:dyDescent="0.25">
      <c r="A5148" t="str">
        <f>"46746439"</f>
        <v>46746439</v>
      </c>
      <c r="B5148" t="s">
        <v>5422</v>
      </c>
      <c r="C5148" t="s">
        <v>7</v>
      </c>
      <c r="D5148" t="str">
        <f t="shared" si="187"/>
        <v>564427</v>
      </c>
      <c r="E5148" t="s">
        <v>5417</v>
      </c>
      <c r="F5148" t="s">
        <v>38</v>
      </c>
    </row>
    <row r="5149" spans="1:6" x14ac:dyDescent="0.25">
      <c r="A5149" t="str">
        <f>"03757048"</f>
        <v>03757048</v>
      </c>
      <c r="B5149" t="s">
        <v>5423</v>
      </c>
      <c r="C5149" t="s">
        <v>124</v>
      </c>
      <c r="D5149" t="str">
        <f t="shared" si="187"/>
        <v>564427</v>
      </c>
      <c r="E5149" t="s">
        <v>5417</v>
      </c>
      <c r="F5149" t="s">
        <v>13</v>
      </c>
    </row>
    <row r="5150" spans="1:6" x14ac:dyDescent="0.25">
      <c r="A5150" t="str">
        <f>"27059740"</f>
        <v>27059740</v>
      </c>
      <c r="B5150" t="s">
        <v>5424</v>
      </c>
      <c r="C5150" t="s">
        <v>7</v>
      </c>
      <c r="D5150" t="str">
        <f t="shared" si="187"/>
        <v>564427</v>
      </c>
      <c r="E5150" t="s">
        <v>5417</v>
      </c>
      <c r="F5150" t="s">
        <v>424</v>
      </c>
    </row>
    <row r="5151" spans="1:6" x14ac:dyDescent="0.25">
      <c r="A5151" t="str">
        <f>"21339295"</f>
        <v>21339295</v>
      </c>
      <c r="B5151" t="s">
        <v>5425</v>
      </c>
      <c r="C5151" t="s">
        <v>7</v>
      </c>
      <c r="D5151" t="str">
        <f t="shared" si="187"/>
        <v>564427</v>
      </c>
      <c r="E5151" t="s">
        <v>5417</v>
      </c>
      <c r="F5151" t="s">
        <v>11</v>
      </c>
    </row>
    <row r="5152" spans="1:6" x14ac:dyDescent="0.25">
      <c r="A5152" t="str">
        <f>"09454896"</f>
        <v>09454896</v>
      </c>
      <c r="B5152" t="s">
        <v>5426</v>
      </c>
      <c r="C5152" t="s">
        <v>7</v>
      </c>
      <c r="D5152" t="str">
        <f t="shared" si="187"/>
        <v>564427</v>
      </c>
      <c r="E5152" t="s">
        <v>5417</v>
      </c>
      <c r="F5152" t="s">
        <v>11</v>
      </c>
    </row>
    <row r="5153" spans="1:6" x14ac:dyDescent="0.25">
      <c r="A5153" t="str">
        <f>"75064758"</f>
        <v>75064758</v>
      </c>
      <c r="B5153" t="s">
        <v>5427</v>
      </c>
      <c r="C5153" t="s">
        <v>7</v>
      </c>
      <c r="D5153" t="str">
        <f t="shared" si="187"/>
        <v>564427</v>
      </c>
      <c r="E5153" t="s">
        <v>5417</v>
      </c>
      <c r="F5153" t="s">
        <v>11</v>
      </c>
    </row>
    <row r="5154" spans="1:6" x14ac:dyDescent="0.25">
      <c r="A5154" t="str">
        <f>"43222161"</f>
        <v>43222161</v>
      </c>
      <c r="B5154" t="s">
        <v>5428</v>
      </c>
      <c r="C5154" t="s">
        <v>15</v>
      </c>
      <c r="D5154" t="str">
        <f t="shared" si="187"/>
        <v>564427</v>
      </c>
      <c r="E5154" t="s">
        <v>5417</v>
      </c>
      <c r="F5154" t="s">
        <v>16</v>
      </c>
    </row>
    <row r="5155" spans="1:6" x14ac:dyDescent="0.25">
      <c r="A5155" t="str">
        <f>"49112023"</f>
        <v>49112023</v>
      </c>
      <c r="B5155" t="s">
        <v>5429</v>
      </c>
      <c r="C5155" t="s">
        <v>15</v>
      </c>
      <c r="D5155" t="str">
        <f t="shared" si="187"/>
        <v>564427</v>
      </c>
      <c r="E5155" t="s">
        <v>5417</v>
      </c>
      <c r="F5155" t="s">
        <v>16</v>
      </c>
    </row>
    <row r="5156" spans="1:6" x14ac:dyDescent="0.25">
      <c r="A5156" t="str">
        <f>"09339060"</f>
        <v>09339060</v>
      </c>
      <c r="B5156" t="s">
        <v>5430</v>
      </c>
      <c r="C5156" t="s">
        <v>7</v>
      </c>
      <c r="D5156" t="str">
        <f t="shared" si="187"/>
        <v>564427</v>
      </c>
      <c r="E5156" t="s">
        <v>5417</v>
      </c>
      <c r="F5156" t="s">
        <v>865</v>
      </c>
    </row>
    <row r="5157" spans="1:6" x14ac:dyDescent="0.25">
      <c r="A5157" t="str">
        <f>"22893601"</f>
        <v>22893601</v>
      </c>
      <c r="B5157" t="s">
        <v>5431</v>
      </c>
      <c r="C5157" t="s">
        <v>7</v>
      </c>
      <c r="D5157" t="str">
        <f t="shared" si="187"/>
        <v>564427</v>
      </c>
      <c r="E5157" t="s">
        <v>5417</v>
      </c>
      <c r="F5157" t="s">
        <v>11</v>
      </c>
    </row>
    <row r="5158" spans="1:6" x14ac:dyDescent="0.25">
      <c r="A5158" t="str">
        <f>"46749616"</f>
        <v>46749616</v>
      </c>
      <c r="B5158" t="s">
        <v>5432</v>
      </c>
      <c r="C5158" t="s">
        <v>15</v>
      </c>
      <c r="D5158" t="str">
        <f t="shared" si="187"/>
        <v>564427</v>
      </c>
      <c r="E5158" t="s">
        <v>5417</v>
      </c>
      <c r="F5158" t="s">
        <v>9</v>
      </c>
    </row>
    <row r="5159" spans="1:6" x14ac:dyDescent="0.25">
      <c r="A5159" t="str">
        <f>"46744550"</f>
        <v>46744550</v>
      </c>
      <c r="B5159" t="s">
        <v>5433</v>
      </c>
      <c r="C5159" t="s">
        <v>7</v>
      </c>
      <c r="D5159" t="str">
        <f t="shared" si="187"/>
        <v>564427</v>
      </c>
      <c r="E5159" t="s">
        <v>5417</v>
      </c>
      <c r="F5159" t="s">
        <v>9</v>
      </c>
    </row>
    <row r="5160" spans="1:6" x14ac:dyDescent="0.25">
      <c r="A5160" t="str">
        <f>"64039404"</f>
        <v>64039404</v>
      </c>
      <c r="B5160" t="s">
        <v>5434</v>
      </c>
      <c r="C5160" t="s">
        <v>7</v>
      </c>
      <c r="D5160" t="str">
        <f t="shared" si="187"/>
        <v>564427</v>
      </c>
      <c r="E5160" t="s">
        <v>5417</v>
      </c>
      <c r="F5160" t="s">
        <v>9</v>
      </c>
    </row>
    <row r="5161" spans="1:6" x14ac:dyDescent="0.25">
      <c r="A5161" t="str">
        <f>"11823011"</f>
        <v>11823011</v>
      </c>
      <c r="B5161" t="s">
        <v>5435</v>
      </c>
      <c r="C5161" t="s">
        <v>7</v>
      </c>
      <c r="D5161" t="str">
        <f t="shared" ref="D5161:D5173" si="188">"564451"</f>
        <v>564451</v>
      </c>
      <c r="E5161" t="s">
        <v>5436</v>
      </c>
      <c r="F5161" t="s">
        <v>62</v>
      </c>
    </row>
    <row r="5162" spans="1:6" x14ac:dyDescent="0.25">
      <c r="A5162" t="str">
        <f>"22118691"</f>
        <v>22118691</v>
      </c>
      <c r="B5162" t="s">
        <v>5437</v>
      </c>
      <c r="C5162" t="s">
        <v>7</v>
      </c>
      <c r="D5162" t="str">
        <f t="shared" si="188"/>
        <v>564451</v>
      </c>
      <c r="E5162" t="s">
        <v>5436</v>
      </c>
      <c r="F5162" t="s">
        <v>9</v>
      </c>
    </row>
    <row r="5163" spans="1:6" x14ac:dyDescent="0.25">
      <c r="A5163" t="str">
        <f>"71154035"</f>
        <v>71154035</v>
      </c>
      <c r="B5163" t="s">
        <v>5438</v>
      </c>
      <c r="C5163" t="s">
        <v>37</v>
      </c>
      <c r="D5163" t="str">
        <f t="shared" si="188"/>
        <v>564451</v>
      </c>
      <c r="E5163" t="s">
        <v>5436</v>
      </c>
      <c r="F5163" t="s">
        <v>38</v>
      </c>
    </row>
    <row r="5164" spans="1:6" x14ac:dyDescent="0.25">
      <c r="A5164" t="str">
        <f>"26649586"</f>
        <v>26649586</v>
      </c>
      <c r="B5164" t="s">
        <v>5439</v>
      </c>
      <c r="C5164" t="s">
        <v>7</v>
      </c>
      <c r="D5164" t="str">
        <f t="shared" si="188"/>
        <v>564451</v>
      </c>
      <c r="E5164" t="s">
        <v>5436</v>
      </c>
      <c r="F5164" t="s">
        <v>11</v>
      </c>
    </row>
    <row r="5165" spans="1:6" x14ac:dyDescent="0.25">
      <c r="A5165" t="str">
        <f>"26636832"</f>
        <v>26636832</v>
      </c>
      <c r="B5165" t="s">
        <v>5440</v>
      </c>
      <c r="C5165" t="s">
        <v>7</v>
      </c>
      <c r="D5165" t="str">
        <f t="shared" si="188"/>
        <v>564451</v>
      </c>
      <c r="E5165" t="s">
        <v>5436</v>
      </c>
      <c r="F5165" t="s">
        <v>38</v>
      </c>
    </row>
    <row r="5166" spans="1:6" x14ac:dyDescent="0.25">
      <c r="A5166" t="str">
        <f>"17829631"</f>
        <v>17829631</v>
      </c>
      <c r="B5166" t="s">
        <v>5441</v>
      </c>
      <c r="C5166" t="s">
        <v>7</v>
      </c>
      <c r="D5166" t="str">
        <f t="shared" si="188"/>
        <v>564451</v>
      </c>
      <c r="E5166" t="s">
        <v>5436</v>
      </c>
      <c r="F5166" t="s">
        <v>11</v>
      </c>
    </row>
    <row r="5167" spans="1:6" x14ac:dyDescent="0.25">
      <c r="A5167" t="str">
        <f>"65400119"</f>
        <v>65400119</v>
      </c>
      <c r="B5167" t="s">
        <v>5442</v>
      </c>
      <c r="C5167" t="s">
        <v>7</v>
      </c>
      <c r="D5167" t="str">
        <f t="shared" si="188"/>
        <v>564451</v>
      </c>
      <c r="E5167" t="s">
        <v>5436</v>
      </c>
      <c r="F5167" t="s">
        <v>389</v>
      </c>
    </row>
    <row r="5168" spans="1:6" x14ac:dyDescent="0.25">
      <c r="A5168" t="str">
        <f>"64040798"</f>
        <v>64040798</v>
      </c>
      <c r="B5168" t="s">
        <v>5443</v>
      </c>
      <c r="C5168" t="s">
        <v>15</v>
      </c>
      <c r="D5168" t="str">
        <f t="shared" si="188"/>
        <v>564451</v>
      </c>
      <c r="E5168" t="s">
        <v>5436</v>
      </c>
      <c r="F5168" t="s">
        <v>16</v>
      </c>
    </row>
    <row r="5169" spans="1:6" x14ac:dyDescent="0.25">
      <c r="A5169" t="str">
        <f>"64039129"</f>
        <v>64039129</v>
      </c>
      <c r="B5169" t="s">
        <v>5444</v>
      </c>
      <c r="C5169" t="s">
        <v>15</v>
      </c>
      <c r="D5169" t="str">
        <f t="shared" si="188"/>
        <v>564451</v>
      </c>
      <c r="E5169" t="s">
        <v>5436</v>
      </c>
      <c r="F5169" t="s">
        <v>16</v>
      </c>
    </row>
    <row r="5170" spans="1:6" x14ac:dyDescent="0.25">
      <c r="A5170" t="str">
        <f>"66112486"</f>
        <v>66112486</v>
      </c>
      <c r="B5170" t="s">
        <v>5445</v>
      </c>
      <c r="C5170" t="s">
        <v>15</v>
      </c>
      <c r="D5170" t="str">
        <f t="shared" si="188"/>
        <v>564451</v>
      </c>
      <c r="E5170" t="s">
        <v>5436</v>
      </c>
      <c r="F5170" t="s">
        <v>16</v>
      </c>
    </row>
    <row r="5171" spans="1:6" x14ac:dyDescent="0.25">
      <c r="A5171" t="str">
        <f>"04799046"</f>
        <v>04799046</v>
      </c>
      <c r="B5171" t="s">
        <v>5446</v>
      </c>
      <c r="C5171" t="s">
        <v>7</v>
      </c>
      <c r="D5171" t="str">
        <f t="shared" si="188"/>
        <v>564451</v>
      </c>
      <c r="E5171" t="s">
        <v>5436</v>
      </c>
      <c r="F5171" t="s">
        <v>65</v>
      </c>
    </row>
    <row r="5172" spans="1:6" x14ac:dyDescent="0.25">
      <c r="A5172" t="str">
        <f>"01992538"</f>
        <v>01992538</v>
      </c>
      <c r="B5172" t="s">
        <v>5447</v>
      </c>
      <c r="C5172" t="s">
        <v>7</v>
      </c>
      <c r="D5172" t="str">
        <f t="shared" si="188"/>
        <v>564451</v>
      </c>
      <c r="E5172" t="s">
        <v>5436</v>
      </c>
      <c r="F5172" t="s">
        <v>11</v>
      </c>
    </row>
    <row r="5173" spans="1:6" x14ac:dyDescent="0.25">
      <c r="A5173" t="str">
        <f>"46749438"</f>
        <v>46749438</v>
      </c>
      <c r="B5173" t="s">
        <v>5448</v>
      </c>
      <c r="C5173" t="s">
        <v>20</v>
      </c>
      <c r="D5173" t="str">
        <f t="shared" si="188"/>
        <v>564451</v>
      </c>
      <c r="E5173" t="s">
        <v>5436</v>
      </c>
      <c r="F5173" t="s">
        <v>21</v>
      </c>
    </row>
    <row r="5174" spans="1:6" x14ac:dyDescent="0.25">
      <c r="A5174" t="str">
        <f>"62013939"</f>
        <v>62013939</v>
      </c>
      <c r="B5174" t="s">
        <v>5449</v>
      </c>
      <c r="C5174" t="s">
        <v>15</v>
      </c>
      <c r="D5174" t="str">
        <f>"577570"</f>
        <v>577570</v>
      </c>
      <c r="E5174" t="s">
        <v>5450</v>
      </c>
      <c r="F5174" t="s">
        <v>16</v>
      </c>
    </row>
    <row r="5175" spans="1:6" x14ac:dyDescent="0.25">
      <c r="A5175" t="str">
        <f>"62013891"</f>
        <v>62013891</v>
      </c>
      <c r="B5175" t="s">
        <v>5451</v>
      </c>
      <c r="C5175" t="s">
        <v>15</v>
      </c>
      <c r="D5175" t="str">
        <f>"577570"</f>
        <v>577570</v>
      </c>
      <c r="E5175" t="s">
        <v>5450</v>
      </c>
      <c r="F5175" t="s">
        <v>16</v>
      </c>
    </row>
    <row r="5176" spans="1:6" x14ac:dyDescent="0.25">
      <c r="A5176" t="str">
        <f>"23114967"</f>
        <v>23114967</v>
      </c>
      <c r="B5176" t="s">
        <v>5452</v>
      </c>
      <c r="C5176" t="s">
        <v>7</v>
      </c>
      <c r="D5176" t="str">
        <f>"553638"</f>
        <v>553638</v>
      </c>
      <c r="E5176" t="s">
        <v>5453</v>
      </c>
      <c r="F5176" t="s">
        <v>62</v>
      </c>
    </row>
    <row r="5177" spans="1:6" x14ac:dyDescent="0.25">
      <c r="A5177" t="str">
        <f>"72031239"</f>
        <v>72031239</v>
      </c>
      <c r="B5177" t="s">
        <v>5454</v>
      </c>
      <c r="C5177" t="s">
        <v>15</v>
      </c>
      <c r="D5177" t="str">
        <f t="shared" ref="D5177:D5208" si="189">"563820"</f>
        <v>563820</v>
      </c>
      <c r="E5177" t="s">
        <v>5455</v>
      </c>
      <c r="F5177" t="s">
        <v>139</v>
      </c>
    </row>
    <row r="5178" spans="1:6" x14ac:dyDescent="0.25">
      <c r="A5178" t="str">
        <f>"19470291"</f>
        <v>19470291</v>
      </c>
      <c r="B5178" t="s">
        <v>5456</v>
      </c>
      <c r="C5178" t="s">
        <v>7</v>
      </c>
      <c r="D5178" t="str">
        <f t="shared" si="189"/>
        <v>563820</v>
      </c>
      <c r="E5178" t="s">
        <v>5455</v>
      </c>
      <c r="F5178" t="s">
        <v>18</v>
      </c>
    </row>
    <row r="5179" spans="1:6" x14ac:dyDescent="0.25">
      <c r="A5179" t="str">
        <f>"28558120"</f>
        <v>28558120</v>
      </c>
      <c r="B5179" t="s">
        <v>5457</v>
      </c>
      <c r="C5179" t="s">
        <v>7</v>
      </c>
      <c r="D5179" t="str">
        <f t="shared" si="189"/>
        <v>563820</v>
      </c>
      <c r="E5179" t="s">
        <v>5455</v>
      </c>
      <c r="F5179" t="s">
        <v>11</v>
      </c>
    </row>
    <row r="5180" spans="1:6" x14ac:dyDescent="0.25">
      <c r="A5180" t="str">
        <f>"26542358"</f>
        <v>26542358</v>
      </c>
      <c r="B5180" t="s">
        <v>5458</v>
      </c>
      <c r="C5180" t="s">
        <v>7</v>
      </c>
      <c r="D5180" t="str">
        <f t="shared" si="189"/>
        <v>563820</v>
      </c>
      <c r="E5180" t="s">
        <v>5455</v>
      </c>
      <c r="F5180" t="s">
        <v>11</v>
      </c>
    </row>
    <row r="5181" spans="1:6" x14ac:dyDescent="0.25">
      <c r="A5181" t="str">
        <f>"17921287"</f>
        <v>17921287</v>
      </c>
      <c r="B5181" t="s">
        <v>5459</v>
      </c>
      <c r="C5181" t="s">
        <v>7</v>
      </c>
      <c r="D5181" t="str">
        <f t="shared" si="189"/>
        <v>563820</v>
      </c>
      <c r="E5181" t="s">
        <v>5455</v>
      </c>
      <c r="F5181" t="s">
        <v>29</v>
      </c>
    </row>
    <row r="5182" spans="1:6" x14ac:dyDescent="0.25">
      <c r="A5182" t="str">
        <f>"60254009"</f>
        <v>60254009</v>
      </c>
      <c r="B5182" t="s">
        <v>5460</v>
      </c>
      <c r="C5182" t="s">
        <v>15</v>
      </c>
      <c r="D5182" t="str">
        <f t="shared" si="189"/>
        <v>563820</v>
      </c>
      <c r="E5182" t="s">
        <v>5455</v>
      </c>
      <c r="F5182" t="s">
        <v>11</v>
      </c>
    </row>
    <row r="5183" spans="1:6" x14ac:dyDescent="0.25">
      <c r="A5183" t="str">
        <f>"01252089"</f>
        <v>01252089</v>
      </c>
      <c r="B5183" t="s">
        <v>5461</v>
      </c>
      <c r="C5183" t="s">
        <v>7</v>
      </c>
      <c r="D5183" t="str">
        <f t="shared" si="189"/>
        <v>563820</v>
      </c>
      <c r="E5183" t="s">
        <v>5455</v>
      </c>
      <c r="F5183" t="s">
        <v>29</v>
      </c>
    </row>
    <row r="5184" spans="1:6" x14ac:dyDescent="0.25">
      <c r="A5184" t="str">
        <f>"70897654"</f>
        <v>70897654</v>
      </c>
      <c r="B5184" t="s">
        <v>5462</v>
      </c>
      <c r="C5184" t="s">
        <v>20</v>
      </c>
      <c r="D5184" t="str">
        <f t="shared" si="189"/>
        <v>563820</v>
      </c>
      <c r="E5184" t="s">
        <v>5455</v>
      </c>
      <c r="F5184" t="s">
        <v>21</v>
      </c>
    </row>
    <row r="5185" spans="1:6" x14ac:dyDescent="0.25">
      <c r="A5185" t="str">
        <f>"26576775"</f>
        <v>26576775</v>
      </c>
      <c r="B5185" t="s">
        <v>5463</v>
      </c>
      <c r="C5185" t="s">
        <v>7</v>
      </c>
      <c r="D5185" t="str">
        <f t="shared" si="189"/>
        <v>563820</v>
      </c>
      <c r="E5185" t="s">
        <v>5455</v>
      </c>
      <c r="F5185" t="s">
        <v>13</v>
      </c>
    </row>
    <row r="5186" spans="1:6" x14ac:dyDescent="0.25">
      <c r="A5186" t="str">
        <f>"43256422"</f>
        <v>43256422</v>
      </c>
      <c r="B5186" t="s">
        <v>5464</v>
      </c>
      <c r="C5186" t="s">
        <v>37</v>
      </c>
      <c r="D5186" t="str">
        <f t="shared" si="189"/>
        <v>563820</v>
      </c>
      <c r="E5186" t="s">
        <v>5455</v>
      </c>
      <c r="F5186" t="s">
        <v>38</v>
      </c>
    </row>
    <row r="5187" spans="1:6" x14ac:dyDescent="0.25">
      <c r="A5187" t="str">
        <f>"26546973"</f>
        <v>26546973</v>
      </c>
      <c r="B5187" t="s">
        <v>5465</v>
      </c>
      <c r="C5187" t="s">
        <v>7</v>
      </c>
      <c r="D5187" t="str">
        <f t="shared" si="189"/>
        <v>563820</v>
      </c>
      <c r="E5187" t="s">
        <v>5455</v>
      </c>
      <c r="F5187" t="s">
        <v>9</v>
      </c>
    </row>
    <row r="5188" spans="1:6" x14ac:dyDescent="0.25">
      <c r="A5188" t="str">
        <f>"22762001"</f>
        <v>22762001</v>
      </c>
      <c r="B5188" t="s">
        <v>5466</v>
      </c>
      <c r="C5188" t="s">
        <v>7</v>
      </c>
      <c r="D5188" t="str">
        <f t="shared" si="189"/>
        <v>563820</v>
      </c>
      <c r="E5188" t="s">
        <v>5455</v>
      </c>
      <c r="F5188" t="s">
        <v>11</v>
      </c>
    </row>
    <row r="5189" spans="1:6" x14ac:dyDescent="0.25">
      <c r="A5189" t="str">
        <f>"00524379"</f>
        <v>00524379</v>
      </c>
      <c r="B5189" t="s">
        <v>5467</v>
      </c>
      <c r="C5189" t="s">
        <v>7</v>
      </c>
      <c r="D5189" t="str">
        <f t="shared" si="189"/>
        <v>563820</v>
      </c>
      <c r="E5189" t="s">
        <v>5455</v>
      </c>
      <c r="F5189" t="s">
        <v>29</v>
      </c>
    </row>
    <row r="5190" spans="1:6" x14ac:dyDescent="0.25">
      <c r="A5190" t="str">
        <f>"01527886"</f>
        <v>01527886</v>
      </c>
      <c r="B5190" t="s">
        <v>5468</v>
      </c>
      <c r="C5190" t="s">
        <v>7</v>
      </c>
      <c r="D5190" t="str">
        <f t="shared" si="189"/>
        <v>563820</v>
      </c>
      <c r="E5190" t="s">
        <v>5455</v>
      </c>
      <c r="F5190" t="s">
        <v>11</v>
      </c>
    </row>
    <row r="5191" spans="1:6" x14ac:dyDescent="0.25">
      <c r="A5191" t="str">
        <f>"03121453"</f>
        <v>03121453</v>
      </c>
      <c r="B5191" t="s">
        <v>5469</v>
      </c>
      <c r="C5191" t="s">
        <v>7</v>
      </c>
      <c r="D5191" t="str">
        <f t="shared" si="189"/>
        <v>563820</v>
      </c>
      <c r="E5191" t="s">
        <v>5455</v>
      </c>
      <c r="F5191" t="s">
        <v>13</v>
      </c>
    </row>
    <row r="5192" spans="1:6" x14ac:dyDescent="0.25">
      <c r="A5192" t="str">
        <f>"05517168"</f>
        <v>05517168</v>
      </c>
      <c r="B5192" t="s">
        <v>5470</v>
      </c>
      <c r="C5192" t="s">
        <v>7</v>
      </c>
      <c r="D5192" t="str">
        <f t="shared" si="189"/>
        <v>563820</v>
      </c>
      <c r="E5192" t="s">
        <v>5455</v>
      </c>
      <c r="F5192" t="s">
        <v>11</v>
      </c>
    </row>
    <row r="5193" spans="1:6" x14ac:dyDescent="0.25">
      <c r="A5193" t="str">
        <f>"43257097"</f>
        <v>43257097</v>
      </c>
      <c r="B5193" t="s">
        <v>5471</v>
      </c>
      <c r="C5193" t="s">
        <v>7</v>
      </c>
      <c r="D5193" t="str">
        <f t="shared" si="189"/>
        <v>563820</v>
      </c>
      <c r="E5193" t="s">
        <v>5455</v>
      </c>
      <c r="F5193" t="s">
        <v>38</v>
      </c>
    </row>
    <row r="5194" spans="1:6" x14ac:dyDescent="0.25">
      <c r="A5194" t="str">
        <f>"60253517"</f>
        <v>60253517</v>
      </c>
      <c r="B5194" t="s">
        <v>5472</v>
      </c>
      <c r="C5194" t="s">
        <v>20</v>
      </c>
      <c r="D5194" t="str">
        <f t="shared" si="189"/>
        <v>563820</v>
      </c>
      <c r="E5194" t="s">
        <v>5455</v>
      </c>
      <c r="F5194" t="s">
        <v>21</v>
      </c>
    </row>
    <row r="5195" spans="1:6" x14ac:dyDescent="0.25">
      <c r="A5195" t="str">
        <f>"16388925"</f>
        <v>16388925</v>
      </c>
      <c r="B5195" t="s">
        <v>5473</v>
      </c>
      <c r="C5195" t="s">
        <v>1134</v>
      </c>
      <c r="D5195" t="str">
        <f t="shared" si="189"/>
        <v>563820</v>
      </c>
      <c r="E5195" t="s">
        <v>5455</v>
      </c>
      <c r="F5195" t="s">
        <v>389</v>
      </c>
    </row>
    <row r="5196" spans="1:6" x14ac:dyDescent="0.25">
      <c r="A5196" t="str">
        <f>"26533570"</f>
        <v>26533570</v>
      </c>
      <c r="B5196" t="s">
        <v>5474</v>
      </c>
      <c r="C5196" t="s">
        <v>7</v>
      </c>
      <c r="D5196" t="str">
        <f t="shared" si="189"/>
        <v>563820</v>
      </c>
      <c r="E5196" t="s">
        <v>5455</v>
      </c>
      <c r="F5196" t="s">
        <v>11</v>
      </c>
    </row>
    <row r="5197" spans="1:6" x14ac:dyDescent="0.25">
      <c r="A5197" t="str">
        <f>"22886087"</f>
        <v>22886087</v>
      </c>
      <c r="B5197" t="s">
        <v>5475</v>
      </c>
      <c r="C5197" t="s">
        <v>7</v>
      </c>
      <c r="D5197" t="str">
        <f t="shared" si="189"/>
        <v>563820</v>
      </c>
      <c r="E5197" t="s">
        <v>5455</v>
      </c>
      <c r="F5197" t="s">
        <v>137</v>
      </c>
    </row>
    <row r="5198" spans="1:6" x14ac:dyDescent="0.25">
      <c r="A5198" t="str">
        <f>"05219744"</f>
        <v>05219744</v>
      </c>
      <c r="B5198" t="s">
        <v>5476</v>
      </c>
      <c r="C5198" t="s">
        <v>7</v>
      </c>
      <c r="D5198" t="str">
        <f t="shared" si="189"/>
        <v>563820</v>
      </c>
      <c r="E5198" t="s">
        <v>5455</v>
      </c>
      <c r="F5198" t="s">
        <v>137</v>
      </c>
    </row>
    <row r="5199" spans="1:6" x14ac:dyDescent="0.25">
      <c r="A5199" t="str">
        <f>"60253843"</f>
        <v>60253843</v>
      </c>
      <c r="B5199" t="s">
        <v>5477</v>
      </c>
      <c r="C5199" t="s">
        <v>43</v>
      </c>
      <c r="D5199" t="str">
        <f t="shared" si="189"/>
        <v>563820</v>
      </c>
      <c r="E5199" t="s">
        <v>5455</v>
      </c>
      <c r="F5199" t="s">
        <v>44</v>
      </c>
    </row>
    <row r="5200" spans="1:6" x14ac:dyDescent="0.25">
      <c r="A5200" t="str">
        <f>"60253916"</f>
        <v>60253916</v>
      </c>
      <c r="B5200" t="s">
        <v>5478</v>
      </c>
      <c r="C5200" t="s">
        <v>43</v>
      </c>
      <c r="D5200" t="str">
        <f t="shared" si="189"/>
        <v>563820</v>
      </c>
      <c r="E5200" t="s">
        <v>5455</v>
      </c>
      <c r="F5200" t="s">
        <v>44</v>
      </c>
    </row>
    <row r="5201" spans="1:6" x14ac:dyDescent="0.25">
      <c r="A5201" t="str">
        <f>"16390105"</f>
        <v>16390105</v>
      </c>
      <c r="B5201" t="s">
        <v>5479</v>
      </c>
      <c r="C5201" t="s">
        <v>43</v>
      </c>
      <c r="D5201" t="str">
        <f t="shared" si="189"/>
        <v>563820</v>
      </c>
      <c r="E5201" t="s">
        <v>5455</v>
      </c>
      <c r="F5201" t="s">
        <v>44</v>
      </c>
    </row>
    <row r="5202" spans="1:6" x14ac:dyDescent="0.25">
      <c r="A5202" t="str">
        <f>"43254403"</f>
        <v>43254403</v>
      </c>
      <c r="B5202" t="s">
        <v>5480</v>
      </c>
      <c r="C5202" t="s">
        <v>43</v>
      </c>
      <c r="D5202" t="str">
        <f t="shared" si="189"/>
        <v>563820</v>
      </c>
      <c r="E5202" t="s">
        <v>5455</v>
      </c>
      <c r="F5202" t="s">
        <v>44</v>
      </c>
    </row>
    <row r="5203" spans="1:6" x14ac:dyDescent="0.25">
      <c r="A5203" t="str">
        <f>"60253924"</f>
        <v>60253924</v>
      </c>
      <c r="B5203" t="s">
        <v>5481</v>
      </c>
      <c r="C5203" t="s">
        <v>43</v>
      </c>
      <c r="D5203" t="str">
        <f t="shared" si="189"/>
        <v>563820</v>
      </c>
      <c r="E5203" t="s">
        <v>5455</v>
      </c>
      <c r="F5203" t="s">
        <v>44</v>
      </c>
    </row>
    <row r="5204" spans="1:6" x14ac:dyDescent="0.25">
      <c r="A5204" t="str">
        <f>"60253932"</f>
        <v>60253932</v>
      </c>
      <c r="B5204" t="s">
        <v>5482</v>
      </c>
      <c r="C5204" t="s">
        <v>43</v>
      </c>
      <c r="D5204" t="str">
        <f t="shared" si="189"/>
        <v>563820</v>
      </c>
      <c r="E5204" t="s">
        <v>5455</v>
      </c>
      <c r="F5204" t="s">
        <v>44</v>
      </c>
    </row>
    <row r="5205" spans="1:6" x14ac:dyDescent="0.25">
      <c r="A5205" t="str">
        <f>"64668363"</f>
        <v>64668363</v>
      </c>
      <c r="B5205" t="s">
        <v>5483</v>
      </c>
      <c r="C5205" t="s">
        <v>15</v>
      </c>
      <c r="D5205" t="str">
        <f t="shared" si="189"/>
        <v>563820</v>
      </c>
      <c r="E5205" t="s">
        <v>5455</v>
      </c>
      <c r="F5205" t="s">
        <v>16</v>
      </c>
    </row>
    <row r="5206" spans="1:6" x14ac:dyDescent="0.25">
      <c r="A5206" t="str">
        <f>"27032108"</f>
        <v>27032108</v>
      </c>
      <c r="B5206" t="s">
        <v>5484</v>
      </c>
      <c r="C5206" t="s">
        <v>7</v>
      </c>
      <c r="D5206" t="str">
        <f t="shared" si="189"/>
        <v>563820</v>
      </c>
      <c r="E5206" t="s">
        <v>5455</v>
      </c>
      <c r="F5206" t="s">
        <v>11</v>
      </c>
    </row>
    <row r="5207" spans="1:6" x14ac:dyDescent="0.25">
      <c r="A5207" t="str">
        <f>"60252464"</f>
        <v>60252464</v>
      </c>
      <c r="B5207" t="s">
        <v>5485</v>
      </c>
      <c r="C5207" t="s">
        <v>15</v>
      </c>
      <c r="D5207" t="str">
        <f t="shared" si="189"/>
        <v>563820</v>
      </c>
      <c r="E5207" t="s">
        <v>5455</v>
      </c>
      <c r="F5207" t="s">
        <v>16</v>
      </c>
    </row>
    <row r="5208" spans="1:6" x14ac:dyDescent="0.25">
      <c r="A5208" t="str">
        <f>"64668282"</f>
        <v>64668282</v>
      </c>
      <c r="B5208" t="s">
        <v>5486</v>
      </c>
      <c r="C5208" t="s">
        <v>15</v>
      </c>
      <c r="D5208" t="str">
        <f t="shared" si="189"/>
        <v>563820</v>
      </c>
      <c r="E5208" t="s">
        <v>5455</v>
      </c>
      <c r="F5208" t="s">
        <v>16</v>
      </c>
    </row>
    <row r="5209" spans="1:6" x14ac:dyDescent="0.25">
      <c r="A5209" t="str">
        <f>"26563517"</f>
        <v>26563517</v>
      </c>
      <c r="B5209" t="s">
        <v>5487</v>
      </c>
      <c r="C5209" t="s">
        <v>7</v>
      </c>
      <c r="D5209" t="str">
        <f t="shared" ref="D5209:D5232" si="190">"563820"</f>
        <v>563820</v>
      </c>
      <c r="E5209" t="s">
        <v>5455</v>
      </c>
      <c r="F5209" t="s">
        <v>35</v>
      </c>
    </row>
    <row r="5210" spans="1:6" x14ac:dyDescent="0.25">
      <c r="A5210" t="str">
        <f>"27007286"</f>
        <v>27007286</v>
      </c>
      <c r="B5210" t="s">
        <v>5488</v>
      </c>
      <c r="C5210" t="s">
        <v>7</v>
      </c>
      <c r="D5210" t="str">
        <f t="shared" si="190"/>
        <v>563820</v>
      </c>
      <c r="E5210" t="s">
        <v>5455</v>
      </c>
      <c r="F5210" t="s">
        <v>9</v>
      </c>
    </row>
    <row r="5211" spans="1:6" x14ac:dyDescent="0.25">
      <c r="A5211" t="str">
        <f>"70957215"</f>
        <v>70957215</v>
      </c>
      <c r="B5211" t="s">
        <v>5489</v>
      </c>
      <c r="C5211" t="s">
        <v>15</v>
      </c>
      <c r="D5211" t="str">
        <f t="shared" si="190"/>
        <v>563820</v>
      </c>
      <c r="E5211" t="s">
        <v>5455</v>
      </c>
      <c r="F5211" t="s">
        <v>11</v>
      </c>
    </row>
    <row r="5212" spans="1:6" x14ac:dyDescent="0.25">
      <c r="A5212" t="str">
        <f>"22848631"</f>
        <v>22848631</v>
      </c>
      <c r="B5212" t="s">
        <v>5490</v>
      </c>
      <c r="C5212" t="s">
        <v>7</v>
      </c>
      <c r="D5212" t="str">
        <f t="shared" si="190"/>
        <v>563820</v>
      </c>
      <c r="E5212" t="s">
        <v>5455</v>
      </c>
      <c r="F5212" t="s">
        <v>62</v>
      </c>
    </row>
    <row r="5213" spans="1:6" x14ac:dyDescent="0.25">
      <c r="A5213" t="str">
        <f>"28558740"</f>
        <v>28558740</v>
      </c>
      <c r="B5213" t="s">
        <v>5491</v>
      </c>
      <c r="C5213" t="s">
        <v>7</v>
      </c>
      <c r="D5213" t="str">
        <f t="shared" si="190"/>
        <v>563820</v>
      </c>
      <c r="E5213" t="s">
        <v>5455</v>
      </c>
      <c r="F5213" t="s">
        <v>9</v>
      </c>
    </row>
    <row r="5214" spans="1:6" x14ac:dyDescent="0.25">
      <c r="A5214" t="str">
        <f>"26589508"</f>
        <v>26589508</v>
      </c>
      <c r="B5214" t="s">
        <v>5492</v>
      </c>
      <c r="C5214" t="s">
        <v>7</v>
      </c>
      <c r="D5214" t="str">
        <f t="shared" si="190"/>
        <v>563820</v>
      </c>
      <c r="E5214" t="s">
        <v>5455</v>
      </c>
      <c r="F5214" t="s">
        <v>9</v>
      </c>
    </row>
    <row r="5215" spans="1:6" x14ac:dyDescent="0.25">
      <c r="A5215" t="str">
        <f>"60254149"</f>
        <v>60254149</v>
      </c>
      <c r="B5215" t="s">
        <v>5493</v>
      </c>
      <c r="C5215" t="s">
        <v>7</v>
      </c>
      <c r="D5215" t="str">
        <f t="shared" si="190"/>
        <v>563820</v>
      </c>
      <c r="E5215" t="s">
        <v>5455</v>
      </c>
      <c r="F5215" t="s">
        <v>9</v>
      </c>
    </row>
    <row r="5216" spans="1:6" x14ac:dyDescent="0.25">
      <c r="A5216" t="str">
        <f>"22682121"</f>
        <v>22682121</v>
      </c>
      <c r="B5216" t="s">
        <v>5494</v>
      </c>
      <c r="C5216" t="s">
        <v>7</v>
      </c>
      <c r="D5216" t="str">
        <f t="shared" si="190"/>
        <v>563820</v>
      </c>
      <c r="E5216" t="s">
        <v>5455</v>
      </c>
      <c r="F5216" t="s">
        <v>11</v>
      </c>
    </row>
    <row r="5217" spans="1:6" x14ac:dyDescent="0.25">
      <c r="A5217" t="str">
        <f>"02299267"</f>
        <v>02299267</v>
      </c>
      <c r="B5217" t="s">
        <v>5495</v>
      </c>
      <c r="C5217" t="s">
        <v>7</v>
      </c>
      <c r="D5217" t="str">
        <f t="shared" si="190"/>
        <v>563820</v>
      </c>
      <c r="E5217" t="s">
        <v>5455</v>
      </c>
      <c r="F5217" t="s">
        <v>11</v>
      </c>
    </row>
    <row r="5218" spans="1:6" x14ac:dyDescent="0.25">
      <c r="A5218" t="str">
        <f>"04689321"</f>
        <v>04689321</v>
      </c>
      <c r="B5218" t="s">
        <v>5496</v>
      </c>
      <c r="C5218" t="s">
        <v>7</v>
      </c>
      <c r="D5218" t="str">
        <f t="shared" si="190"/>
        <v>563820</v>
      </c>
      <c r="E5218" t="s">
        <v>5455</v>
      </c>
      <c r="F5218" t="s">
        <v>139</v>
      </c>
    </row>
    <row r="5219" spans="1:6" x14ac:dyDescent="0.25">
      <c r="A5219" t="str">
        <f>"22880801"</f>
        <v>22880801</v>
      </c>
      <c r="B5219" t="s">
        <v>5497</v>
      </c>
      <c r="C5219" t="s">
        <v>7</v>
      </c>
      <c r="D5219" t="str">
        <f t="shared" si="190"/>
        <v>563820</v>
      </c>
      <c r="E5219" t="s">
        <v>5455</v>
      </c>
      <c r="F5219" t="s">
        <v>18</v>
      </c>
    </row>
    <row r="5220" spans="1:6" x14ac:dyDescent="0.25">
      <c r="A5220" t="str">
        <f>"00526631"</f>
        <v>00526631</v>
      </c>
      <c r="B5220" t="s">
        <v>5498</v>
      </c>
      <c r="C5220" t="s">
        <v>15</v>
      </c>
      <c r="D5220" t="str">
        <f t="shared" si="190"/>
        <v>563820</v>
      </c>
      <c r="E5220" t="s">
        <v>5455</v>
      </c>
      <c r="F5220" t="s">
        <v>65</v>
      </c>
    </row>
    <row r="5221" spans="1:6" x14ac:dyDescent="0.25">
      <c r="A5221" t="str">
        <f>"16389174"</f>
        <v>16389174</v>
      </c>
      <c r="B5221" t="s">
        <v>5499</v>
      </c>
      <c r="C5221" t="s">
        <v>7</v>
      </c>
      <c r="D5221" t="str">
        <f t="shared" si="190"/>
        <v>563820</v>
      </c>
      <c r="E5221" t="s">
        <v>5455</v>
      </c>
      <c r="F5221" t="s">
        <v>9</v>
      </c>
    </row>
    <row r="5222" spans="1:6" x14ac:dyDescent="0.25">
      <c r="A5222" t="str">
        <f>"26546353"</f>
        <v>26546353</v>
      </c>
      <c r="B5222" t="s">
        <v>5500</v>
      </c>
      <c r="C5222" t="s">
        <v>7</v>
      </c>
      <c r="D5222" t="str">
        <f t="shared" si="190"/>
        <v>563820</v>
      </c>
      <c r="E5222" t="s">
        <v>5455</v>
      </c>
      <c r="F5222" t="s">
        <v>9</v>
      </c>
    </row>
    <row r="5223" spans="1:6" x14ac:dyDescent="0.25">
      <c r="A5223" t="str">
        <f>"68454929"</f>
        <v>68454929</v>
      </c>
      <c r="B5223" t="s">
        <v>5501</v>
      </c>
      <c r="C5223" t="s">
        <v>7</v>
      </c>
      <c r="D5223" t="str">
        <f t="shared" si="190"/>
        <v>563820</v>
      </c>
      <c r="E5223" t="s">
        <v>5455</v>
      </c>
      <c r="F5223" t="s">
        <v>9</v>
      </c>
    </row>
    <row r="5224" spans="1:6" x14ac:dyDescent="0.25">
      <c r="A5224" t="str">
        <f>"60253070"</f>
        <v>60253070</v>
      </c>
      <c r="B5224" t="s">
        <v>5502</v>
      </c>
      <c r="C5224" t="s">
        <v>7</v>
      </c>
      <c r="D5224" t="str">
        <f t="shared" si="190"/>
        <v>563820</v>
      </c>
      <c r="E5224" t="s">
        <v>5455</v>
      </c>
      <c r="F5224" t="s">
        <v>9</v>
      </c>
    </row>
    <row r="5225" spans="1:6" x14ac:dyDescent="0.25">
      <c r="A5225" t="str">
        <f>"16389204"</f>
        <v>16389204</v>
      </c>
      <c r="B5225" t="s">
        <v>5503</v>
      </c>
      <c r="C5225" t="s">
        <v>7</v>
      </c>
      <c r="D5225" t="str">
        <f t="shared" si="190"/>
        <v>563820</v>
      </c>
      <c r="E5225" t="s">
        <v>5455</v>
      </c>
      <c r="F5225" t="s">
        <v>9</v>
      </c>
    </row>
    <row r="5226" spans="1:6" x14ac:dyDescent="0.25">
      <c r="A5226" t="str">
        <f>"70818487"</f>
        <v>70818487</v>
      </c>
      <c r="B5226" t="s">
        <v>5504</v>
      </c>
      <c r="C5226" t="s">
        <v>15</v>
      </c>
      <c r="D5226" t="str">
        <f t="shared" si="190"/>
        <v>563820</v>
      </c>
      <c r="E5226" t="s">
        <v>5455</v>
      </c>
      <c r="F5226" t="s">
        <v>29</v>
      </c>
    </row>
    <row r="5227" spans="1:6" x14ac:dyDescent="0.25">
      <c r="A5227" t="str">
        <f>"01627589"</f>
        <v>01627589</v>
      </c>
      <c r="B5227" t="s">
        <v>5505</v>
      </c>
      <c r="C5227" t="s">
        <v>7</v>
      </c>
      <c r="D5227" t="str">
        <f t="shared" si="190"/>
        <v>563820</v>
      </c>
      <c r="E5227" t="s">
        <v>5455</v>
      </c>
      <c r="F5227" t="s">
        <v>11</v>
      </c>
    </row>
    <row r="5228" spans="1:6" x14ac:dyDescent="0.25">
      <c r="A5228" t="str">
        <f>"09591397"</f>
        <v>09591397</v>
      </c>
      <c r="B5228" t="s">
        <v>5506</v>
      </c>
      <c r="C5228" t="s">
        <v>7</v>
      </c>
      <c r="D5228" t="str">
        <f t="shared" si="190"/>
        <v>563820</v>
      </c>
      <c r="E5228" t="s">
        <v>5455</v>
      </c>
      <c r="F5228" t="s">
        <v>11</v>
      </c>
    </row>
    <row r="5229" spans="1:6" x14ac:dyDescent="0.25">
      <c r="A5229" t="str">
        <f>"75104156"</f>
        <v>75104156</v>
      </c>
      <c r="B5229" t="s">
        <v>5507</v>
      </c>
      <c r="C5229" t="s">
        <v>15</v>
      </c>
      <c r="D5229" t="str">
        <f t="shared" si="190"/>
        <v>563820</v>
      </c>
      <c r="E5229" t="s">
        <v>5455</v>
      </c>
      <c r="F5229" t="s">
        <v>29</v>
      </c>
    </row>
    <row r="5230" spans="1:6" x14ac:dyDescent="0.25">
      <c r="A5230" t="str">
        <f>"01672291"</f>
        <v>01672291</v>
      </c>
      <c r="B5230" t="s">
        <v>5508</v>
      </c>
      <c r="C5230" t="s">
        <v>20</v>
      </c>
      <c r="D5230" t="str">
        <f t="shared" si="190"/>
        <v>563820</v>
      </c>
      <c r="E5230" t="s">
        <v>5455</v>
      </c>
      <c r="F5230" t="s">
        <v>21</v>
      </c>
    </row>
    <row r="5231" spans="1:6" x14ac:dyDescent="0.25">
      <c r="A5231" t="str">
        <f>"65650557"</f>
        <v>65650557</v>
      </c>
      <c r="B5231" t="s">
        <v>5509</v>
      </c>
      <c r="C5231" t="s">
        <v>7</v>
      </c>
      <c r="D5231" t="str">
        <f t="shared" si="190"/>
        <v>563820</v>
      </c>
      <c r="E5231" t="s">
        <v>5455</v>
      </c>
      <c r="F5231" t="s">
        <v>11</v>
      </c>
    </row>
    <row r="5232" spans="1:6" x14ac:dyDescent="0.25">
      <c r="A5232" t="str">
        <f>"25474481"</f>
        <v>25474481</v>
      </c>
      <c r="B5232" t="s">
        <v>5510</v>
      </c>
      <c r="C5232" t="s">
        <v>78</v>
      </c>
      <c r="D5232" t="str">
        <f t="shared" si="190"/>
        <v>563820</v>
      </c>
      <c r="E5232" t="s">
        <v>5455</v>
      </c>
      <c r="F5232" t="s">
        <v>4121</v>
      </c>
    </row>
    <row r="5233" spans="1:6" x14ac:dyDescent="0.25">
      <c r="A5233" t="str">
        <f>"06469744"</f>
        <v>06469744</v>
      </c>
      <c r="B5233" t="s">
        <v>5511</v>
      </c>
      <c r="C5233" t="s">
        <v>7</v>
      </c>
      <c r="D5233" t="str">
        <f t="shared" ref="D5233:D5246" si="191">"577596"</f>
        <v>577596</v>
      </c>
      <c r="E5233" t="s">
        <v>5512</v>
      </c>
      <c r="F5233" t="s">
        <v>9</v>
      </c>
    </row>
    <row r="5234" spans="1:6" x14ac:dyDescent="0.25">
      <c r="A5234" t="str">
        <f>"45599009"</f>
        <v>45599009</v>
      </c>
      <c r="B5234" t="s">
        <v>5513</v>
      </c>
      <c r="C5234" t="s">
        <v>37</v>
      </c>
      <c r="D5234" t="str">
        <f t="shared" si="191"/>
        <v>577596</v>
      </c>
      <c r="E5234" t="s">
        <v>5512</v>
      </c>
      <c r="F5234" t="s">
        <v>38</v>
      </c>
    </row>
    <row r="5235" spans="1:6" x14ac:dyDescent="0.25">
      <c r="A5235" t="str">
        <f>"45598096"</f>
        <v>45598096</v>
      </c>
      <c r="B5235" t="s">
        <v>5514</v>
      </c>
      <c r="C5235" t="s">
        <v>15</v>
      </c>
      <c r="D5235" t="str">
        <f t="shared" si="191"/>
        <v>577596</v>
      </c>
      <c r="E5235" t="s">
        <v>5512</v>
      </c>
      <c r="F5235" t="s">
        <v>139</v>
      </c>
    </row>
    <row r="5236" spans="1:6" x14ac:dyDescent="0.25">
      <c r="A5236" t="str">
        <f>"45598827"</f>
        <v>45598827</v>
      </c>
      <c r="B5236" t="s">
        <v>5515</v>
      </c>
      <c r="C5236" t="s">
        <v>7</v>
      </c>
      <c r="D5236" t="str">
        <f t="shared" si="191"/>
        <v>577596</v>
      </c>
      <c r="E5236" t="s">
        <v>5512</v>
      </c>
      <c r="F5236" t="s">
        <v>38</v>
      </c>
    </row>
    <row r="5237" spans="1:6" x14ac:dyDescent="0.25">
      <c r="A5237" t="str">
        <f>"26618753"</f>
        <v>26618753</v>
      </c>
      <c r="B5237" t="s">
        <v>5516</v>
      </c>
      <c r="C5237" t="s">
        <v>7</v>
      </c>
      <c r="D5237" t="str">
        <f t="shared" si="191"/>
        <v>577596</v>
      </c>
      <c r="E5237" t="s">
        <v>5512</v>
      </c>
      <c r="F5237" t="s">
        <v>11</v>
      </c>
    </row>
    <row r="5238" spans="1:6" x14ac:dyDescent="0.25">
      <c r="A5238" t="str">
        <f>"49294385"</f>
        <v>49294385</v>
      </c>
      <c r="B5238" t="s">
        <v>5517</v>
      </c>
      <c r="C5238" t="s">
        <v>7</v>
      </c>
      <c r="D5238" t="str">
        <f t="shared" si="191"/>
        <v>577596</v>
      </c>
      <c r="E5238" t="s">
        <v>5512</v>
      </c>
      <c r="F5238" t="s">
        <v>65</v>
      </c>
    </row>
    <row r="5239" spans="1:6" x14ac:dyDescent="0.25">
      <c r="A5239" t="str">
        <f>"62013921"</f>
        <v>62013921</v>
      </c>
      <c r="B5239" t="s">
        <v>5518</v>
      </c>
      <c r="C5239" t="s">
        <v>15</v>
      </c>
      <c r="D5239" t="str">
        <f t="shared" si="191"/>
        <v>577596</v>
      </c>
      <c r="E5239" t="s">
        <v>5512</v>
      </c>
      <c r="F5239" t="s">
        <v>16</v>
      </c>
    </row>
    <row r="5240" spans="1:6" x14ac:dyDescent="0.25">
      <c r="A5240" t="str">
        <f>"62013866"</f>
        <v>62013866</v>
      </c>
      <c r="B5240" t="s">
        <v>5519</v>
      </c>
      <c r="C5240" t="s">
        <v>15</v>
      </c>
      <c r="D5240" t="str">
        <f t="shared" si="191"/>
        <v>577596</v>
      </c>
      <c r="E5240" t="s">
        <v>5512</v>
      </c>
      <c r="F5240" t="s">
        <v>16</v>
      </c>
    </row>
    <row r="5241" spans="1:6" x14ac:dyDescent="0.25">
      <c r="A5241" t="str">
        <f>"01987411"</f>
        <v>01987411</v>
      </c>
      <c r="B5241" t="s">
        <v>5520</v>
      </c>
      <c r="C5241" t="s">
        <v>7</v>
      </c>
      <c r="D5241" t="str">
        <f t="shared" si="191"/>
        <v>577596</v>
      </c>
      <c r="E5241" t="s">
        <v>5512</v>
      </c>
      <c r="F5241" t="s">
        <v>328</v>
      </c>
    </row>
    <row r="5242" spans="1:6" x14ac:dyDescent="0.25">
      <c r="A5242" t="str">
        <f>"17191327"</f>
        <v>17191327</v>
      </c>
      <c r="B5242" t="s">
        <v>5521</v>
      </c>
      <c r="C5242" t="s">
        <v>7</v>
      </c>
      <c r="D5242" t="str">
        <f t="shared" si="191"/>
        <v>577596</v>
      </c>
      <c r="E5242" t="s">
        <v>5512</v>
      </c>
      <c r="F5242" t="s">
        <v>18</v>
      </c>
    </row>
    <row r="5243" spans="1:6" x14ac:dyDescent="0.25">
      <c r="A5243" t="str">
        <f>"22746641"</f>
        <v>22746641</v>
      </c>
      <c r="B5243" t="s">
        <v>5522</v>
      </c>
      <c r="C5243" t="s">
        <v>7</v>
      </c>
      <c r="D5243" t="str">
        <f t="shared" si="191"/>
        <v>577596</v>
      </c>
      <c r="E5243" t="s">
        <v>5512</v>
      </c>
      <c r="F5243" t="s">
        <v>11</v>
      </c>
    </row>
    <row r="5244" spans="1:6" x14ac:dyDescent="0.25">
      <c r="A5244" t="str">
        <f>"62014978"</f>
        <v>62014978</v>
      </c>
      <c r="B5244" t="s">
        <v>5523</v>
      </c>
      <c r="C5244" t="s">
        <v>15</v>
      </c>
      <c r="D5244" t="str">
        <f t="shared" si="191"/>
        <v>577596</v>
      </c>
      <c r="E5244" t="s">
        <v>5512</v>
      </c>
      <c r="F5244" t="s">
        <v>65</v>
      </c>
    </row>
    <row r="5245" spans="1:6" x14ac:dyDescent="0.25">
      <c r="A5245" t="str">
        <f>"75140471"</f>
        <v>75140471</v>
      </c>
      <c r="B5245" t="s">
        <v>5524</v>
      </c>
      <c r="C5245" t="s">
        <v>15</v>
      </c>
      <c r="D5245" t="str">
        <f t="shared" si="191"/>
        <v>577596</v>
      </c>
      <c r="E5245" t="s">
        <v>5512</v>
      </c>
      <c r="F5245" t="s">
        <v>11</v>
      </c>
    </row>
    <row r="5246" spans="1:6" x14ac:dyDescent="0.25">
      <c r="A5246" t="str">
        <f>"49295268"</f>
        <v>49295268</v>
      </c>
      <c r="B5246" t="s">
        <v>5525</v>
      </c>
      <c r="C5246" t="s">
        <v>7</v>
      </c>
      <c r="D5246" t="str">
        <f t="shared" si="191"/>
        <v>577596</v>
      </c>
      <c r="E5246" t="s">
        <v>5512</v>
      </c>
      <c r="F5246" t="s">
        <v>35</v>
      </c>
    </row>
    <row r="5247" spans="1:6" x14ac:dyDescent="0.25">
      <c r="A5247" t="str">
        <f>"08037825"</f>
        <v>08037825</v>
      </c>
      <c r="B5247" t="s">
        <v>5526</v>
      </c>
      <c r="C5247" t="s">
        <v>7</v>
      </c>
      <c r="D5247" t="str">
        <f t="shared" ref="D5247:D5252" si="192">"577600"</f>
        <v>577600</v>
      </c>
      <c r="E5247" t="s">
        <v>5527</v>
      </c>
      <c r="F5247" t="s">
        <v>11</v>
      </c>
    </row>
    <row r="5248" spans="1:6" x14ac:dyDescent="0.25">
      <c r="A5248" t="str">
        <f>"07965877"</f>
        <v>07965877</v>
      </c>
      <c r="B5248" t="s">
        <v>5528</v>
      </c>
      <c r="C5248" t="s">
        <v>27</v>
      </c>
      <c r="D5248" t="str">
        <f t="shared" si="192"/>
        <v>577600</v>
      </c>
      <c r="E5248" t="s">
        <v>5527</v>
      </c>
      <c r="F5248" t="s">
        <v>11</v>
      </c>
    </row>
    <row r="5249" spans="1:6" x14ac:dyDescent="0.25">
      <c r="A5249" t="str">
        <f>"19946368"</f>
        <v>19946368</v>
      </c>
      <c r="B5249" t="s">
        <v>5529</v>
      </c>
      <c r="C5249" t="s">
        <v>1038</v>
      </c>
      <c r="D5249" t="str">
        <f t="shared" si="192"/>
        <v>577600</v>
      </c>
      <c r="E5249" t="s">
        <v>5527</v>
      </c>
      <c r="F5249" t="s">
        <v>1039</v>
      </c>
    </row>
    <row r="5250" spans="1:6" x14ac:dyDescent="0.25">
      <c r="A5250" t="str">
        <f>"22837051"</f>
        <v>22837051</v>
      </c>
      <c r="B5250" t="s">
        <v>5530</v>
      </c>
      <c r="C5250" t="s">
        <v>7</v>
      </c>
      <c r="D5250" t="str">
        <f t="shared" si="192"/>
        <v>577600</v>
      </c>
      <c r="E5250" t="s">
        <v>5527</v>
      </c>
      <c r="F5250" t="s">
        <v>11</v>
      </c>
    </row>
    <row r="5251" spans="1:6" x14ac:dyDescent="0.25">
      <c r="A5251" t="str">
        <f>"62013700"</f>
        <v>62013700</v>
      </c>
      <c r="B5251" t="s">
        <v>5531</v>
      </c>
      <c r="C5251" t="s">
        <v>15</v>
      </c>
      <c r="D5251" t="str">
        <f t="shared" si="192"/>
        <v>577600</v>
      </c>
      <c r="E5251" t="s">
        <v>5527</v>
      </c>
      <c r="F5251" t="s">
        <v>16</v>
      </c>
    </row>
    <row r="5252" spans="1:6" x14ac:dyDescent="0.25">
      <c r="A5252" t="str">
        <f>"03488705"</f>
        <v>03488705</v>
      </c>
      <c r="B5252" t="s">
        <v>5532</v>
      </c>
      <c r="C5252" t="s">
        <v>7</v>
      </c>
      <c r="D5252" t="str">
        <f t="shared" si="192"/>
        <v>577600</v>
      </c>
      <c r="E5252" t="s">
        <v>5527</v>
      </c>
      <c r="F5252" t="s">
        <v>62</v>
      </c>
    </row>
    <row r="5253" spans="1:6" x14ac:dyDescent="0.25">
      <c r="A5253" t="str">
        <f>"07815298"</f>
        <v>07815298</v>
      </c>
      <c r="B5253" t="s">
        <v>5533</v>
      </c>
      <c r="C5253" t="s">
        <v>37</v>
      </c>
      <c r="D5253" t="str">
        <f t="shared" ref="D5253:D5258" si="193">"546267"</f>
        <v>546267</v>
      </c>
      <c r="E5253" t="s">
        <v>5534</v>
      </c>
      <c r="F5253" t="s">
        <v>38</v>
      </c>
    </row>
    <row r="5254" spans="1:6" x14ac:dyDescent="0.25">
      <c r="A5254" t="str">
        <f>"46750941"</f>
        <v>46750941</v>
      </c>
      <c r="B5254" t="s">
        <v>5535</v>
      </c>
      <c r="C5254" t="s">
        <v>7</v>
      </c>
      <c r="D5254" t="str">
        <f t="shared" si="193"/>
        <v>546267</v>
      </c>
      <c r="E5254" t="s">
        <v>5534</v>
      </c>
      <c r="F5254" t="s">
        <v>38</v>
      </c>
    </row>
    <row r="5255" spans="1:6" x14ac:dyDescent="0.25">
      <c r="A5255" t="str">
        <f>"48282081"</f>
        <v>48282081</v>
      </c>
      <c r="B5255" t="s">
        <v>5536</v>
      </c>
      <c r="C5255" t="s">
        <v>7</v>
      </c>
      <c r="D5255" t="str">
        <f t="shared" si="193"/>
        <v>546267</v>
      </c>
      <c r="E5255" t="s">
        <v>5534</v>
      </c>
      <c r="F5255" t="s">
        <v>38</v>
      </c>
    </row>
    <row r="5256" spans="1:6" x14ac:dyDescent="0.25">
      <c r="A5256" t="str">
        <f>"63778874"</f>
        <v>63778874</v>
      </c>
      <c r="B5256" t="s">
        <v>5274</v>
      </c>
      <c r="C5256" t="s">
        <v>15</v>
      </c>
      <c r="D5256" t="str">
        <f t="shared" si="193"/>
        <v>546267</v>
      </c>
      <c r="E5256" t="s">
        <v>5534</v>
      </c>
      <c r="F5256" t="s">
        <v>16</v>
      </c>
    </row>
    <row r="5257" spans="1:6" x14ac:dyDescent="0.25">
      <c r="A5257" t="str">
        <f>"19612052"</f>
        <v>19612052</v>
      </c>
      <c r="B5257" t="s">
        <v>5537</v>
      </c>
      <c r="C5257" t="s">
        <v>7</v>
      </c>
      <c r="D5257" t="str">
        <f t="shared" si="193"/>
        <v>546267</v>
      </c>
      <c r="E5257" t="s">
        <v>5534</v>
      </c>
      <c r="F5257" t="s">
        <v>29</v>
      </c>
    </row>
    <row r="5258" spans="1:6" x14ac:dyDescent="0.25">
      <c r="A5258" t="str">
        <f>"49864505"</f>
        <v>49864505</v>
      </c>
      <c r="B5258" t="s">
        <v>5538</v>
      </c>
      <c r="C5258" t="s">
        <v>7</v>
      </c>
      <c r="D5258" t="str">
        <f t="shared" si="193"/>
        <v>546267</v>
      </c>
      <c r="E5258" t="s">
        <v>5534</v>
      </c>
      <c r="F5258" t="s">
        <v>9</v>
      </c>
    </row>
    <row r="5259" spans="1:6" x14ac:dyDescent="0.25">
      <c r="A5259" t="str">
        <f>"22751173"</f>
        <v>22751173</v>
      </c>
      <c r="B5259" t="s">
        <v>5539</v>
      </c>
      <c r="C5259" t="s">
        <v>7</v>
      </c>
      <c r="D5259" t="str">
        <f t="shared" ref="D5259:D5290" si="194">"577626"</f>
        <v>577626</v>
      </c>
      <c r="E5259" t="s">
        <v>5540</v>
      </c>
      <c r="F5259" t="s">
        <v>29</v>
      </c>
    </row>
    <row r="5260" spans="1:6" x14ac:dyDescent="0.25">
      <c r="A5260" t="str">
        <f>"00527271"</f>
        <v>00527271</v>
      </c>
      <c r="B5260" t="s">
        <v>5541</v>
      </c>
      <c r="C5260" t="s">
        <v>7</v>
      </c>
      <c r="D5260" t="str">
        <f t="shared" si="194"/>
        <v>577626</v>
      </c>
      <c r="E5260" t="s">
        <v>5540</v>
      </c>
      <c r="F5260" t="s">
        <v>35</v>
      </c>
    </row>
    <row r="5261" spans="1:6" x14ac:dyDescent="0.25">
      <c r="A5261" t="str">
        <f>"70811334"</f>
        <v>70811334</v>
      </c>
      <c r="B5261" t="s">
        <v>5542</v>
      </c>
      <c r="C5261" t="s">
        <v>7</v>
      </c>
      <c r="D5261" t="str">
        <f t="shared" si="194"/>
        <v>577626</v>
      </c>
      <c r="E5261" t="s">
        <v>5540</v>
      </c>
      <c r="F5261" t="s">
        <v>11</v>
      </c>
    </row>
    <row r="5262" spans="1:6" x14ac:dyDescent="0.25">
      <c r="A5262" t="str">
        <f>"07926766"</f>
        <v>07926766</v>
      </c>
      <c r="B5262" t="s">
        <v>5543</v>
      </c>
      <c r="C5262" t="s">
        <v>7</v>
      </c>
      <c r="D5262" t="str">
        <f t="shared" si="194"/>
        <v>577626</v>
      </c>
      <c r="E5262" t="s">
        <v>5540</v>
      </c>
      <c r="F5262" t="s">
        <v>11</v>
      </c>
    </row>
    <row r="5263" spans="1:6" x14ac:dyDescent="0.25">
      <c r="A5263" t="str">
        <f>"22867830"</f>
        <v>22867830</v>
      </c>
      <c r="B5263" t="s">
        <v>5544</v>
      </c>
      <c r="C5263" t="s">
        <v>7</v>
      </c>
      <c r="D5263" t="str">
        <f t="shared" si="194"/>
        <v>577626</v>
      </c>
      <c r="E5263" t="s">
        <v>5540</v>
      </c>
      <c r="F5263" t="s">
        <v>18</v>
      </c>
    </row>
    <row r="5264" spans="1:6" x14ac:dyDescent="0.25">
      <c r="A5264" t="str">
        <f>"75112655"</f>
        <v>75112655</v>
      </c>
      <c r="B5264" t="s">
        <v>5545</v>
      </c>
      <c r="C5264" t="s">
        <v>15</v>
      </c>
      <c r="D5264" t="str">
        <f t="shared" si="194"/>
        <v>577626</v>
      </c>
      <c r="E5264" t="s">
        <v>5540</v>
      </c>
      <c r="F5264" t="s">
        <v>139</v>
      </c>
    </row>
    <row r="5265" spans="1:6" x14ac:dyDescent="0.25">
      <c r="A5265" t="str">
        <f>"72078359"</f>
        <v>72078359</v>
      </c>
      <c r="B5265" t="s">
        <v>5546</v>
      </c>
      <c r="C5265" t="s">
        <v>15</v>
      </c>
      <c r="D5265" t="str">
        <f t="shared" si="194"/>
        <v>577626</v>
      </c>
      <c r="E5265" t="s">
        <v>5540</v>
      </c>
      <c r="F5265" t="s">
        <v>29</v>
      </c>
    </row>
    <row r="5266" spans="1:6" x14ac:dyDescent="0.25">
      <c r="A5266" t="str">
        <f>"26587238"</f>
        <v>26587238</v>
      </c>
      <c r="B5266" t="s">
        <v>5547</v>
      </c>
      <c r="C5266" t="s">
        <v>7</v>
      </c>
      <c r="D5266" t="str">
        <f t="shared" si="194"/>
        <v>577626</v>
      </c>
      <c r="E5266" t="s">
        <v>5540</v>
      </c>
      <c r="F5266" t="s">
        <v>11</v>
      </c>
    </row>
    <row r="5267" spans="1:6" x14ac:dyDescent="0.25">
      <c r="A5267" t="str">
        <f>"28558961"</f>
        <v>28558961</v>
      </c>
      <c r="B5267" t="s">
        <v>5548</v>
      </c>
      <c r="C5267" t="s">
        <v>7</v>
      </c>
      <c r="D5267" t="str">
        <f t="shared" si="194"/>
        <v>577626</v>
      </c>
      <c r="E5267" t="s">
        <v>5540</v>
      </c>
      <c r="F5267" t="s">
        <v>11</v>
      </c>
    </row>
    <row r="5268" spans="1:6" x14ac:dyDescent="0.25">
      <c r="A5268" t="str">
        <f>"27491552"</f>
        <v>27491552</v>
      </c>
      <c r="B5268" t="s">
        <v>5549</v>
      </c>
      <c r="C5268" t="s">
        <v>78</v>
      </c>
      <c r="D5268" t="str">
        <f t="shared" si="194"/>
        <v>577626</v>
      </c>
      <c r="E5268" t="s">
        <v>5540</v>
      </c>
      <c r="F5268" t="s">
        <v>11</v>
      </c>
    </row>
    <row r="5269" spans="1:6" x14ac:dyDescent="0.25">
      <c r="A5269" t="str">
        <f>"70155097"</f>
        <v>70155097</v>
      </c>
      <c r="B5269" t="s">
        <v>5550</v>
      </c>
      <c r="C5269" t="s">
        <v>27</v>
      </c>
      <c r="D5269" t="str">
        <f t="shared" si="194"/>
        <v>577626</v>
      </c>
      <c r="E5269" t="s">
        <v>5540</v>
      </c>
      <c r="F5269" t="s">
        <v>139</v>
      </c>
    </row>
    <row r="5270" spans="1:6" x14ac:dyDescent="0.25">
      <c r="A5270" t="str">
        <f>"22690905"</f>
        <v>22690905</v>
      </c>
      <c r="B5270" t="s">
        <v>5551</v>
      </c>
      <c r="C5270" t="s">
        <v>7</v>
      </c>
      <c r="D5270" t="str">
        <f t="shared" si="194"/>
        <v>577626</v>
      </c>
      <c r="E5270" t="s">
        <v>5540</v>
      </c>
      <c r="F5270" t="s">
        <v>9</v>
      </c>
    </row>
    <row r="5271" spans="1:6" x14ac:dyDescent="0.25">
      <c r="A5271" t="str">
        <f>"25972448"</f>
        <v>25972448</v>
      </c>
      <c r="B5271" t="s">
        <v>5552</v>
      </c>
      <c r="C5271" t="s">
        <v>78</v>
      </c>
      <c r="D5271" t="str">
        <f t="shared" si="194"/>
        <v>577626</v>
      </c>
      <c r="E5271" t="s">
        <v>5540</v>
      </c>
      <c r="F5271" t="s">
        <v>40</v>
      </c>
    </row>
    <row r="5272" spans="1:6" x14ac:dyDescent="0.25">
      <c r="A5272" t="str">
        <f>"27462072"</f>
        <v>27462072</v>
      </c>
      <c r="B5272" t="s">
        <v>5553</v>
      </c>
      <c r="C5272" t="s">
        <v>78</v>
      </c>
      <c r="D5272" t="str">
        <f t="shared" si="194"/>
        <v>577626</v>
      </c>
      <c r="E5272" t="s">
        <v>5540</v>
      </c>
      <c r="F5272" t="s">
        <v>5554</v>
      </c>
    </row>
    <row r="5273" spans="1:6" x14ac:dyDescent="0.25">
      <c r="A5273" t="str">
        <f>"19965346"</f>
        <v>19965346</v>
      </c>
      <c r="B5273" t="s">
        <v>5555</v>
      </c>
      <c r="C5273" t="s">
        <v>7</v>
      </c>
      <c r="D5273" t="str">
        <f t="shared" si="194"/>
        <v>577626</v>
      </c>
      <c r="E5273" t="s">
        <v>5540</v>
      </c>
      <c r="F5273" t="s">
        <v>11</v>
      </c>
    </row>
    <row r="5274" spans="1:6" x14ac:dyDescent="0.25">
      <c r="A5274" t="str">
        <f>"21319308"</f>
        <v>21319308</v>
      </c>
      <c r="B5274" t="s">
        <v>5556</v>
      </c>
      <c r="C5274" t="s">
        <v>7</v>
      </c>
      <c r="D5274" t="str">
        <f t="shared" si="194"/>
        <v>577626</v>
      </c>
      <c r="E5274" t="s">
        <v>5540</v>
      </c>
      <c r="F5274" t="s">
        <v>9</v>
      </c>
    </row>
    <row r="5275" spans="1:6" x14ac:dyDescent="0.25">
      <c r="A5275" t="str">
        <f>"01474669"</f>
        <v>01474669</v>
      </c>
      <c r="B5275" t="s">
        <v>5557</v>
      </c>
      <c r="C5275" t="s">
        <v>7</v>
      </c>
      <c r="D5275" t="str">
        <f t="shared" si="194"/>
        <v>577626</v>
      </c>
      <c r="E5275" t="s">
        <v>5540</v>
      </c>
      <c r="F5275" t="s">
        <v>11</v>
      </c>
    </row>
    <row r="5276" spans="1:6" x14ac:dyDescent="0.25">
      <c r="A5276" t="str">
        <f>"15045226"</f>
        <v>15045226</v>
      </c>
      <c r="B5276" t="s">
        <v>5558</v>
      </c>
      <c r="C5276" t="s">
        <v>1134</v>
      </c>
      <c r="D5276" t="str">
        <f t="shared" si="194"/>
        <v>577626</v>
      </c>
      <c r="E5276" t="s">
        <v>5540</v>
      </c>
      <c r="F5276" t="s">
        <v>389</v>
      </c>
    </row>
    <row r="5277" spans="1:6" x14ac:dyDescent="0.25">
      <c r="A5277" t="str">
        <f>"64668991"</f>
        <v>64668991</v>
      </c>
      <c r="B5277" t="s">
        <v>5559</v>
      </c>
      <c r="C5277" t="s">
        <v>15</v>
      </c>
      <c r="D5277" t="str">
        <f t="shared" si="194"/>
        <v>577626</v>
      </c>
      <c r="E5277" t="s">
        <v>5540</v>
      </c>
      <c r="F5277" t="s">
        <v>29</v>
      </c>
    </row>
    <row r="5278" spans="1:6" x14ac:dyDescent="0.25">
      <c r="A5278" t="str">
        <f>"62014293"</f>
        <v>62014293</v>
      </c>
      <c r="B5278" t="s">
        <v>5560</v>
      </c>
      <c r="C5278" t="s">
        <v>15</v>
      </c>
      <c r="D5278" t="str">
        <f t="shared" si="194"/>
        <v>577626</v>
      </c>
      <c r="E5278" t="s">
        <v>5540</v>
      </c>
      <c r="F5278" t="s">
        <v>29</v>
      </c>
    </row>
    <row r="5279" spans="1:6" x14ac:dyDescent="0.25">
      <c r="A5279" t="str">
        <f>"04064810"</f>
        <v>04064810</v>
      </c>
      <c r="B5279" t="s">
        <v>5561</v>
      </c>
      <c r="C5279" t="s">
        <v>15</v>
      </c>
      <c r="D5279" t="str">
        <f t="shared" si="194"/>
        <v>577626</v>
      </c>
      <c r="E5279" t="s">
        <v>5540</v>
      </c>
      <c r="F5279" t="s">
        <v>29</v>
      </c>
    </row>
    <row r="5280" spans="1:6" x14ac:dyDescent="0.25">
      <c r="A5280" t="str">
        <f>"13586378"</f>
        <v>13586378</v>
      </c>
      <c r="B5280" t="s">
        <v>5562</v>
      </c>
      <c r="C5280" t="s">
        <v>15</v>
      </c>
      <c r="D5280" t="str">
        <f t="shared" si="194"/>
        <v>577626</v>
      </c>
      <c r="E5280" t="s">
        <v>5540</v>
      </c>
      <c r="F5280" t="s">
        <v>29</v>
      </c>
    </row>
    <row r="5281" spans="1:6" x14ac:dyDescent="0.25">
      <c r="A5281" t="str">
        <f>"00448648"</f>
        <v>00448648</v>
      </c>
      <c r="B5281" t="s">
        <v>5563</v>
      </c>
      <c r="C5281" t="s">
        <v>15</v>
      </c>
      <c r="D5281" t="str">
        <f t="shared" si="194"/>
        <v>577626</v>
      </c>
      <c r="E5281" t="s">
        <v>5540</v>
      </c>
      <c r="F5281" t="s">
        <v>29</v>
      </c>
    </row>
    <row r="5282" spans="1:6" x14ac:dyDescent="0.25">
      <c r="A5282" t="str">
        <f>"62014838"</f>
        <v>62014838</v>
      </c>
      <c r="B5282" t="s">
        <v>5564</v>
      </c>
      <c r="C5282" t="s">
        <v>15</v>
      </c>
      <c r="D5282" t="str">
        <f t="shared" si="194"/>
        <v>577626</v>
      </c>
      <c r="E5282" t="s">
        <v>5540</v>
      </c>
      <c r="F5282" t="s">
        <v>29</v>
      </c>
    </row>
    <row r="5283" spans="1:6" x14ac:dyDescent="0.25">
      <c r="A5283" t="str">
        <f>"22710086"</f>
        <v>22710086</v>
      </c>
      <c r="B5283" t="s">
        <v>5565</v>
      </c>
      <c r="C5283" t="s">
        <v>15</v>
      </c>
      <c r="D5283" t="str">
        <f t="shared" si="194"/>
        <v>577626</v>
      </c>
      <c r="E5283" t="s">
        <v>5540</v>
      </c>
      <c r="F5283" t="s">
        <v>18</v>
      </c>
    </row>
    <row r="5284" spans="1:6" x14ac:dyDescent="0.25">
      <c r="A5284" t="str">
        <f>"70849463"</f>
        <v>70849463</v>
      </c>
      <c r="B5284" t="s">
        <v>5566</v>
      </c>
      <c r="C5284" t="s">
        <v>15</v>
      </c>
      <c r="D5284" t="str">
        <f t="shared" si="194"/>
        <v>577626</v>
      </c>
      <c r="E5284" t="s">
        <v>5540</v>
      </c>
      <c r="F5284" t="s">
        <v>29</v>
      </c>
    </row>
    <row r="5285" spans="1:6" x14ac:dyDescent="0.25">
      <c r="A5285" t="str">
        <f>"62014765"</f>
        <v>62014765</v>
      </c>
      <c r="B5285" t="s">
        <v>5567</v>
      </c>
      <c r="C5285" t="s">
        <v>15</v>
      </c>
      <c r="D5285" t="str">
        <f t="shared" si="194"/>
        <v>577626</v>
      </c>
      <c r="E5285" t="s">
        <v>5540</v>
      </c>
      <c r="F5285" t="s">
        <v>11</v>
      </c>
    </row>
    <row r="5286" spans="1:6" x14ac:dyDescent="0.25">
      <c r="A5286" t="str">
        <f>"26672294"</f>
        <v>26672294</v>
      </c>
      <c r="B5286" t="s">
        <v>5568</v>
      </c>
      <c r="C5286" t="s">
        <v>7</v>
      </c>
      <c r="D5286" t="str">
        <f t="shared" si="194"/>
        <v>577626</v>
      </c>
      <c r="E5286" t="s">
        <v>5540</v>
      </c>
      <c r="F5286" t="s">
        <v>11</v>
      </c>
    </row>
    <row r="5287" spans="1:6" x14ac:dyDescent="0.25">
      <c r="A5287" t="str">
        <f>"64669131"</f>
        <v>64669131</v>
      </c>
      <c r="B5287" t="s">
        <v>5569</v>
      </c>
      <c r="C5287" t="s">
        <v>15</v>
      </c>
      <c r="D5287" t="str">
        <f t="shared" si="194"/>
        <v>577626</v>
      </c>
      <c r="E5287" t="s">
        <v>5540</v>
      </c>
      <c r="F5287" t="s">
        <v>62</v>
      </c>
    </row>
    <row r="5288" spans="1:6" x14ac:dyDescent="0.25">
      <c r="A5288" t="str">
        <f>"17733651"</f>
        <v>17733651</v>
      </c>
      <c r="B5288" t="s">
        <v>5570</v>
      </c>
      <c r="C5288" t="s">
        <v>7</v>
      </c>
      <c r="D5288" t="str">
        <f t="shared" si="194"/>
        <v>577626</v>
      </c>
      <c r="E5288" t="s">
        <v>5540</v>
      </c>
      <c r="F5288" t="s">
        <v>328</v>
      </c>
    </row>
    <row r="5289" spans="1:6" x14ac:dyDescent="0.25">
      <c r="A5289" t="str">
        <f>"07192509"</f>
        <v>07192509</v>
      </c>
      <c r="B5289" t="s">
        <v>5571</v>
      </c>
      <c r="C5289" t="s">
        <v>7</v>
      </c>
      <c r="D5289" t="str">
        <f t="shared" si="194"/>
        <v>577626</v>
      </c>
      <c r="E5289" t="s">
        <v>5540</v>
      </c>
      <c r="F5289" t="s">
        <v>11</v>
      </c>
    </row>
    <row r="5290" spans="1:6" x14ac:dyDescent="0.25">
      <c r="A5290" t="str">
        <f>"08723931"</f>
        <v>08723931</v>
      </c>
      <c r="B5290" t="s">
        <v>5572</v>
      </c>
      <c r="C5290" t="s">
        <v>7</v>
      </c>
      <c r="D5290" t="str">
        <f t="shared" si="194"/>
        <v>577626</v>
      </c>
      <c r="E5290" t="s">
        <v>5540</v>
      </c>
      <c r="F5290" t="s">
        <v>11</v>
      </c>
    </row>
    <row r="5291" spans="1:6" x14ac:dyDescent="0.25">
      <c r="A5291" t="str">
        <f>"65994400"</f>
        <v>65994400</v>
      </c>
      <c r="B5291" t="s">
        <v>5573</v>
      </c>
      <c r="C5291" t="s">
        <v>7</v>
      </c>
      <c r="D5291" t="str">
        <f t="shared" ref="D5291:D5322" si="195">"577626"</f>
        <v>577626</v>
      </c>
      <c r="E5291" t="s">
        <v>5540</v>
      </c>
      <c r="F5291" t="s">
        <v>11</v>
      </c>
    </row>
    <row r="5292" spans="1:6" x14ac:dyDescent="0.25">
      <c r="A5292" t="str">
        <f>"27016579"</f>
        <v>27016579</v>
      </c>
      <c r="B5292" t="s">
        <v>5574</v>
      </c>
      <c r="C5292" t="s">
        <v>7</v>
      </c>
      <c r="D5292" t="str">
        <f t="shared" si="195"/>
        <v>577626</v>
      </c>
      <c r="E5292" t="s">
        <v>5540</v>
      </c>
      <c r="F5292" t="s">
        <v>9</v>
      </c>
    </row>
    <row r="5293" spans="1:6" x14ac:dyDescent="0.25">
      <c r="A5293" t="str">
        <f>"26660385"</f>
        <v>26660385</v>
      </c>
      <c r="B5293" t="s">
        <v>5575</v>
      </c>
      <c r="C5293" t="s">
        <v>7</v>
      </c>
      <c r="D5293" t="str">
        <f t="shared" si="195"/>
        <v>577626</v>
      </c>
      <c r="E5293" t="s">
        <v>5540</v>
      </c>
      <c r="F5293" t="s">
        <v>9</v>
      </c>
    </row>
    <row r="5294" spans="1:6" x14ac:dyDescent="0.25">
      <c r="A5294" t="str">
        <f>"49295101"</f>
        <v>49295101</v>
      </c>
      <c r="B5294" t="s">
        <v>5576</v>
      </c>
      <c r="C5294" t="s">
        <v>7</v>
      </c>
      <c r="D5294" t="str">
        <f t="shared" si="195"/>
        <v>577626</v>
      </c>
      <c r="E5294" t="s">
        <v>5540</v>
      </c>
      <c r="F5294" t="s">
        <v>2228</v>
      </c>
    </row>
    <row r="5295" spans="1:6" x14ac:dyDescent="0.25">
      <c r="A5295" t="str">
        <f>"45599084"</f>
        <v>45599084</v>
      </c>
      <c r="B5295" t="s">
        <v>5577</v>
      </c>
      <c r="C5295" t="s">
        <v>7</v>
      </c>
      <c r="D5295" t="str">
        <f t="shared" si="195"/>
        <v>577626</v>
      </c>
      <c r="E5295" t="s">
        <v>5540</v>
      </c>
      <c r="F5295" t="s">
        <v>11</v>
      </c>
    </row>
    <row r="5296" spans="1:6" x14ac:dyDescent="0.25">
      <c r="A5296" t="str">
        <f>"27511774"</f>
        <v>27511774</v>
      </c>
      <c r="B5296" t="s">
        <v>5578</v>
      </c>
      <c r="C5296" t="s">
        <v>78</v>
      </c>
      <c r="D5296" t="str">
        <f t="shared" si="195"/>
        <v>577626</v>
      </c>
      <c r="E5296" t="s">
        <v>5540</v>
      </c>
      <c r="F5296" t="s">
        <v>11</v>
      </c>
    </row>
    <row r="5297" spans="1:6" x14ac:dyDescent="0.25">
      <c r="A5297" t="str">
        <f>"22894012"</f>
        <v>22894012</v>
      </c>
      <c r="B5297" t="s">
        <v>5579</v>
      </c>
      <c r="C5297" t="s">
        <v>7</v>
      </c>
      <c r="D5297" t="str">
        <f t="shared" si="195"/>
        <v>577626</v>
      </c>
      <c r="E5297" t="s">
        <v>5540</v>
      </c>
      <c r="F5297" t="s">
        <v>11</v>
      </c>
    </row>
    <row r="5298" spans="1:6" x14ac:dyDescent="0.25">
      <c r="A5298" t="str">
        <f>"28558545"</f>
        <v>28558545</v>
      </c>
      <c r="B5298" t="s">
        <v>5580</v>
      </c>
      <c r="C5298" t="s">
        <v>7</v>
      </c>
      <c r="D5298" t="str">
        <f t="shared" si="195"/>
        <v>577626</v>
      </c>
      <c r="E5298" t="s">
        <v>5540</v>
      </c>
      <c r="F5298" t="s">
        <v>9</v>
      </c>
    </row>
    <row r="5299" spans="1:6" x14ac:dyDescent="0.25">
      <c r="A5299" t="str">
        <f>"27003345"</f>
        <v>27003345</v>
      </c>
      <c r="B5299" t="s">
        <v>5581</v>
      </c>
      <c r="C5299" t="s">
        <v>7</v>
      </c>
      <c r="D5299" t="str">
        <f t="shared" si="195"/>
        <v>577626</v>
      </c>
      <c r="E5299" t="s">
        <v>5540</v>
      </c>
      <c r="F5299" t="s">
        <v>9</v>
      </c>
    </row>
    <row r="5300" spans="1:6" x14ac:dyDescent="0.25">
      <c r="A5300" t="str">
        <f>"26573822"</f>
        <v>26573822</v>
      </c>
      <c r="B5300" t="s">
        <v>5582</v>
      </c>
      <c r="C5300" t="s">
        <v>7</v>
      </c>
      <c r="D5300" t="str">
        <f t="shared" si="195"/>
        <v>577626</v>
      </c>
      <c r="E5300" t="s">
        <v>5540</v>
      </c>
      <c r="F5300" t="s">
        <v>11</v>
      </c>
    </row>
    <row r="5301" spans="1:6" x14ac:dyDescent="0.25">
      <c r="A5301" t="str">
        <f>"72754800"</f>
        <v>72754800</v>
      </c>
      <c r="B5301" t="s">
        <v>5583</v>
      </c>
      <c r="C5301" t="s">
        <v>37</v>
      </c>
      <c r="D5301" t="str">
        <f t="shared" si="195"/>
        <v>577626</v>
      </c>
      <c r="E5301" t="s">
        <v>5540</v>
      </c>
      <c r="F5301" t="s">
        <v>38</v>
      </c>
    </row>
    <row r="5302" spans="1:6" x14ac:dyDescent="0.25">
      <c r="A5302" t="str">
        <f>"75037670"</f>
        <v>75037670</v>
      </c>
      <c r="B5302" t="s">
        <v>5584</v>
      </c>
      <c r="C5302" t="s">
        <v>37</v>
      </c>
      <c r="D5302" t="str">
        <f t="shared" si="195"/>
        <v>577626</v>
      </c>
      <c r="E5302" t="s">
        <v>5540</v>
      </c>
      <c r="F5302" t="s">
        <v>38</v>
      </c>
    </row>
    <row r="5303" spans="1:6" x14ac:dyDescent="0.25">
      <c r="A5303" t="str">
        <f>"09010157"</f>
        <v>09010157</v>
      </c>
      <c r="B5303" t="s">
        <v>5585</v>
      </c>
      <c r="C5303" t="s">
        <v>7</v>
      </c>
      <c r="D5303" t="str">
        <f t="shared" si="195"/>
        <v>577626</v>
      </c>
      <c r="E5303" t="s">
        <v>5540</v>
      </c>
      <c r="F5303" t="s">
        <v>11</v>
      </c>
    </row>
    <row r="5304" spans="1:6" x14ac:dyDescent="0.25">
      <c r="A5304" t="str">
        <f>"22665307"</f>
        <v>22665307</v>
      </c>
      <c r="B5304" t="s">
        <v>5586</v>
      </c>
      <c r="C5304" t="s">
        <v>7</v>
      </c>
      <c r="D5304" t="str">
        <f t="shared" si="195"/>
        <v>577626</v>
      </c>
      <c r="E5304" t="s">
        <v>5540</v>
      </c>
      <c r="F5304" t="s">
        <v>11</v>
      </c>
    </row>
    <row r="5305" spans="1:6" x14ac:dyDescent="0.25">
      <c r="A5305" t="str">
        <f>"21271143"</f>
        <v>21271143</v>
      </c>
      <c r="B5305" t="s">
        <v>5587</v>
      </c>
      <c r="C5305" t="s">
        <v>7</v>
      </c>
      <c r="D5305" t="str">
        <f t="shared" si="195"/>
        <v>577626</v>
      </c>
      <c r="E5305" t="s">
        <v>5540</v>
      </c>
      <c r="F5305" t="s">
        <v>62</v>
      </c>
    </row>
    <row r="5306" spans="1:6" x14ac:dyDescent="0.25">
      <c r="A5306" t="str">
        <f>"15045480"</f>
        <v>15045480</v>
      </c>
      <c r="B5306" t="s">
        <v>5588</v>
      </c>
      <c r="C5306" t="s">
        <v>15</v>
      </c>
      <c r="D5306" t="str">
        <f t="shared" si="195"/>
        <v>577626</v>
      </c>
      <c r="E5306" t="s">
        <v>5540</v>
      </c>
      <c r="F5306" t="s">
        <v>139</v>
      </c>
    </row>
    <row r="5307" spans="1:6" x14ac:dyDescent="0.25">
      <c r="A5307" t="str">
        <f>"21648671"</f>
        <v>21648671</v>
      </c>
      <c r="B5307" t="s">
        <v>5589</v>
      </c>
      <c r="C5307" t="s">
        <v>7</v>
      </c>
      <c r="D5307" t="str">
        <f t="shared" si="195"/>
        <v>577626</v>
      </c>
      <c r="E5307" t="s">
        <v>5540</v>
      </c>
      <c r="F5307" t="s">
        <v>139</v>
      </c>
    </row>
    <row r="5308" spans="1:6" x14ac:dyDescent="0.25">
      <c r="A5308" t="str">
        <f>"17898749"</f>
        <v>17898749</v>
      </c>
      <c r="B5308" t="s">
        <v>5590</v>
      </c>
      <c r="C5308" t="s">
        <v>7</v>
      </c>
      <c r="D5308" t="str">
        <f t="shared" si="195"/>
        <v>577626</v>
      </c>
      <c r="E5308" t="s">
        <v>5540</v>
      </c>
      <c r="F5308" t="s">
        <v>11</v>
      </c>
    </row>
    <row r="5309" spans="1:6" x14ac:dyDescent="0.25">
      <c r="A5309" t="str">
        <f>"15045561"</f>
        <v>15045561</v>
      </c>
      <c r="B5309" t="s">
        <v>5591</v>
      </c>
      <c r="C5309" t="s">
        <v>7</v>
      </c>
      <c r="D5309" t="str">
        <f t="shared" si="195"/>
        <v>577626</v>
      </c>
      <c r="E5309" t="s">
        <v>5540</v>
      </c>
      <c r="F5309" t="s">
        <v>35</v>
      </c>
    </row>
    <row r="5310" spans="1:6" x14ac:dyDescent="0.25">
      <c r="A5310" t="str">
        <f>"15044840"</f>
        <v>15044840</v>
      </c>
      <c r="B5310" t="s">
        <v>5592</v>
      </c>
      <c r="C5310" t="s">
        <v>7</v>
      </c>
      <c r="D5310" t="str">
        <f t="shared" si="195"/>
        <v>577626</v>
      </c>
      <c r="E5310" t="s">
        <v>5540</v>
      </c>
      <c r="F5310" t="s">
        <v>35</v>
      </c>
    </row>
    <row r="5311" spans="1:6" x14ac:dyDescent="0.25">
      <c r="A5311" t="str">
        <f>"49294211"</f>
        <v>49294211</v>
      </c>
      <c r="B5311" t="s">
        <v>5593</v>
      </c>
      <c r="C5311" t="s">
        <v>7</v>
      </c>
      <c r="D5311" t="str">
        <f t="shared" si="195"/>
        <v>577626</v>
      </c>
      <c r="E5311" t="s">
        <v>5540</v>
      </c>
      <c r="F5311" t="s">
        <v>11</v>
      </c>
    </row>
    <row r="5312" spans="1:6" x14ac:dyDescent="0.25">
      <c r="A5312" t="str">
        <f>"62013165"</f>
        <v>62013165</v>
      </c>
      <c r="B5312" t="s">
        <v>5594</v>
      </c>
      <c r="C5312" t="s">
        <v>15</v>
      </c>
      <c r="D5312" t="str">
        <f t="shared" si="195"/>
        <v>577626</v>
      </c>
      <c r="E5312" t="s">
        <v>5540</v>
      </c>
      <c r="F5312" t="s">
        <v>35</v>
      </c>
    </row>
    <row r="5313" spans="1:6" x14ac:dyDescent="0.25">
      <c r="A5313" t="str">
        <f>"17752868"</f>
        <v>17752868</v>
      </c>
      <c r="B5313" t="s">
        <v>5595</v>
      </c>
      <c r="C5313" t="s">
        <v>7</v>
      </c>
      <c r="D5313" t="str">
        <f t="shared" si="195"/>
        <v>577626</v>
      </c>
      <c r="E5313" t="s">
        <v>5540</v>
      </c>
      <c r="F5313" t="s">
        <v>11</v>
      </c>
    </row>
    <row r="5314" spans="1:6" x14ac:dyDescent="0.25">
      <c r="A5314" t="str">
        <f>"04433556"</f>
        <v>04433556</v>
      </c>
      <c r="B5314" t="s">
        <v>5596</v>
      </c>
      <c r="C5314" t="s">
        <v>27</v>
      </c>
      <c r="D5314" t="str">
        <f t="shared" si="195"/>
        <v>577626</v>
      </c>
      <c r="E5314" t="s">
        <v>5540</v>
      </c>
      <c r="F5314" t="s">
        <v>62</v>
      </c>
    </row>
    <row r="5315" spans="1:6" x14ac:dyDescent="0.25">
      <c r="A5315" t="str">
        <f>"70843031"</f>
        <v>70843031</v>
      </c>
      <c r="B5315" t="s">
        <v>5597</v>
      </c>
      <c r="C5315" t="s">
        <v>7</v>
      </c>
      <c r="D5315" t="str">
        <f t="shared" si="195"/>
        <v>577626</v>
      </c>
      <c r="E5315" t="s">
        <v>5540</v>
      </c>
      <c r="F5315" t="s">
        <v>11</v>
      </c>
    </row>
    <row r="5316" spans="1:6" x14ac:dyDescent="0.25">
      <c r="A5316" t="str">
        <f>"01230077"</f>
        <v>01230077</v>
      </c>
      <c r="B5316" t="s">
        <v>5598</v>
      </c>
      <c r="C5316" t="s">
        <v>7</v>
      </c>
      <c r="D5316" t="str">
        <f t="shared" si="195"/>
        <v>577626</v>
      </c>
      <c r="E5316" t="s">
        <v>5540</v>
      </c>
      <c r="F5316" t="s">
        <v>29</v>
      </c>
    </row>
    <row r="5317" spans="1:6" x14ac:dyDescent="0.25">
      <c r="A5317" t="str">
        <f>"13999435"</f>
        <v>13999435</v>
      </c>
      <c r="B5317" t="s">
        <v>5599</v>
      </c>
      <c r="C5317" t="s">
        <v>7</v>
      </c>
      <c r="D5317" t="str">
        <f t="shared" si="195"/>
        <v>577626</v>
      </c>
      <c r="E5317" t="s">
        <v>5540</v>
      </c>
      <c r="F5317" t="s">
        <v>11</v>
      </c>
    </row>
    <row r="5318" spans="1:6" x14ac:dyDescent="0.25">
      <c r="A5318" t="str">
        <f>"17379288"</f>
        <v>17379288</v>
      </c>
      <c r="B5318" t="s">
        <v>5600</v>
      </c>
      <c r="C5318" t="s">
        <v>15</v>
      </c>
      <c r="D5318" t="str">
        <f t="shared" si="195"/>
        <v>577626</v>
      </c>
      <c r="E5318" t="s">
        <v>5540</v>
      </c>
      <c r="F5318" t="s">
        <v>139</v>
      </c>
    </row>
    <row r="5319" spans="1:6" x14ac:dyDescent="0.25">
      <c r="A5319" t="str">
        <f>"26606861"</f>
        <v>26606861</v>
      </c>
      <c r="B5319" t="s">
        <v>5601</v>
      </c>
      <c r="C5319" t="s">
        <v>7</v>
      </c>
      <c r="D5319" t="str">
        <f t="shared" si="195"/>
        <v>577626</v>
      </c>
      <c r="E5319" t="s">
        <v>5540</v>
      </c>
      <c r="F5319" t="s">
        <v>11</v>
      </c>
    </row>
    <row r="5320" spans="1:6" x14ac:dyDescent="0.25">
      <c r="A5320" t="str">
        <f>"08519552"</f>
        <v>08519552</v>
      </c>
      <c r="B5320" t="s">
        <v>5602</v>
      </c>
      <c r="C5320" t="s">
        <v>7</v>
      </c>
      <c r="D5320" t="str">
        <f t="shared" si="195"/>
        <v>577626</v>
      </c>
      <c r="E5320" t="s">
        <v>5540</v>
      </c>
      <c r="F5320" t="s">
        <v>62</v>
      </c>
    </row>
    <row r="5321" spans="1:6" x14ac:dyDescent="0.25">
      <c r="A5321" t="str">
        <f>"04421523"</f>
        <v>04421523</v>
      </c>
      <c r="B5321" t="s">
        <v>5603</v>
      </c>
      <c r="C5321" t="s">
        <v>7</v>
      </c>
      <c r="D5321" t="str">
        <f t="shared" si="195"/>
        <v>577626</v>
      </c>
      <c r="E5321" t="s">
        <v>5540</v>
      </c>
      <c r="F5321" t="s">
        <v>58</v>
      </c>
    </row>
    <row r="5322" spans="1:6" x14ac:dyDescent="0.25">
      <c r="A5322" t="str">
        <f>"71218262"</f>
        <v>71218262</v>
      </c>
      <c r="B5322" t="s">
        <v>5604</v>
      </c>
      <c r="C5322" t="s">
        <v>2224</v>
      </c>
      <c r="D5322" t="str">
        <f t="shared" si="195"/>
        <v>577626</v>
      </c>
      <c r="E5322" t="s">
        <v>5540</v>
      </c>
      <c r="F5322" t="s">
        <v>137</v>
      </c>
    </row>
    <row r="5323" spans="1:6" x14ac:dyDescent="0.25">
      <c r="A5323" t="str">
        <f>"06798110"</f>
        <v>06798110</v>
      </c>
      <c r="B5323" t="s">
        <v>5605</v>
      </c>
      <c r="C5323" t="s">
        <v>7</v>
      </c>
      <c r="D5323" t="str">
        <f t="shared" ref="D5323:D5354" si="196">"577626"</f>
        <v>577626</v>
      </c>
      <c r="E5323" t="s">
        <v>5540</v>
      </c>
      <c r="F5323" t="s">
        <v>1096</v>
      </c>
    </row>
    <row r="5324" spans="1:6" x14ac:dyDescent="0.25">
      <c r="A5324" t="str">
        <f>"26611759"</f>
        <v>26611759</v>
      </c>
      <c r="B5324" t="s">
        <v>5606</v>
      </c>
      <c r="C5324" t="s">
        <v>7</v>
      </c>
      <c r="D5324" t="str">
        <f t="shared" si="196"/>
        <v>577626</v>
      </c>
      <c r="E5324" t="s">
        <v>5540</v>
      </c>
      <c r="F5324" t="s">
        <v>11</v>
      </c>
    </row>
    <row r="5325" spans="1:6" x14ac:dyDescent="0.25">
      <c r="A5325" t="str">
        <f>"02058847"</f>
        <v>02058847</v>
      </c>
      <c r="B5325" t="s">
        <v>5607</v>
      </c>
      <c r="C5325" t="s">
        <v>7</v>
      </c>
      <c r="D5325" t="str">
        <f t="shared" si="196"/>
        <v>577626</v>
      </c>
      <c r="E5325" t="s">
        <v>5540</v>
      </c>
      <c r="F5325" t="s">
        <v>11</v>
      </c>
    </row>
    <row r="5326" spans="1:6" x14ac:dyDescent="0.25">
      <c r="A5326" t="str">
        <f>"01420429"</f>
        <v>01420429</v>
      </c>
      <c r="B5326" t="s">
        <v>5608</v>
      </c>
      <c r="C5326" t="s">
        <v>7</v>
      </c>
      <c r="D5326" t="str">
        <f t="shared" si="196"/>
        <v>577626</v>
      </c>
      <c r="E5326" t="s">
        <v>5540</v>
      </c>
      <c r="F5326" t="s">
        <v>38</v>
      </c>
    </row>
    <row r="5327" spans="1:6" x14ac:dyDescent="0.25">
      <c r="A5327" t="str">
        <f>"62013220"</f>
        <v>62013220</v>
      </c>
      <c r="B5327" t="s">
        <v>5609</v>
      </c>
      <c r="C5327" t="s">
        <v>43</v>
      </c>
      <c r="D5327" t="str">
        <f t="shared" si="196"/>
        <v>577626</v>
      </c>
      <c r="E5327" t="s">
        <v>5540</v>
      </c>
      <c r="F5327" t="s">
        <v>44</v>
      </c>
    </row>
    <row r="5328" spans="1:6" x14ac:dyDescent="0.25">
      <c r="A5328" t="str">
        <f>"26006154"</f>
        <v>26006154</v>
      </c>
      <c r="B5328" t="s">
        <v>5610</v>
      </c>
      <c r="C5328" t="s">
        <v>325</v>
      </c>
      <c r="D5328" t="str">
        <f t="shared" si="196"/>
        <v>577626</v>
      </c>
      <c r="E5328" t="s">
        <v>5540</v>
      </c>
      <c r="F5328" t="s">
        <v>11</v>
      </c>
    </row>
    <row r="5329" spans="1:6" x14ac:dyDescent="0.25">
      <c r="A5329" t="str">
        <f>"25920871"</f>
        <v>25920871</v>
      </c>
      <c r="B5329" t="s">
        <v>5611</v>
      </c>
      <c r="C5329" t="s">
        <v>124</v>
      </c>
      <c r="D5329" t="str">
        <f t="shared" si="196"/>
        <v>577626</v>
      </c>
      <c r="E5329" t="s">
        <v>5540</v>
      </c>
      <c r="F5329" t="s">
        <v>13</v>
      </c>
    </row>
    <row r="5330" spans="1:6" x14ac:dyDescent="0.25">
      <c r="A5330" t="str">
        <f>"03651479"</f>
        <v>03651479</v>
      </c>
      <c r="B5330" t="s">
        <v>5612</v>
      </c>
      <c r="C5330" t="s">
        <v>124</v>
      </c>
      <c r="D5330" t="str">
        <f t="shared" si="196"/>
        <v>577626</v>
      </c>
      <c r="E5330" t="s">
        <v>5540</v>
      </c>
      <c r="F5330" t="s">
        <v>13</v>
      </c>
    </row>
    <row r="5331" spans="1:6" x14ac:dyDescent="0.25">
      <c r="A5331" t="str">
        <f>"22501258"</f>
        <v>22501258</v>
      </c>
      <c r="B5331" t="s">
        <v>5613</v>
      </c>
      <c r="C5331" t="s">
        <v>124</v>
      </c>
      <c r="D5331" t="str">
        <f t="shared" si="196"/>
        <v>577626</v>
      </c>
      <c r="E5331" t="s">
        <v>5540</v>
      </c>
      <c r="F5331" t="s">
        <v>11</v>
      </c>
    </row>
    <row r="5332" spans="1:6" x14ac:dyDescent="0.25">
      <c r="A5332" t="str">
        <f>"26559421"</f>
        <v>26559421</v>
      </c>
      <c r="B5332" t="s">
        <v>5614</v>
      </c>
      <c r="C5332" t="s">
        <v>7</v>
      </c>
      <c r="D5332" t="str">
        <f t="shared" si="196"/>
        <v>577626</v>
      </c>
      <c r="E5332" t="s">
        <v>5540</v>
      </c>
      <c r="F5332" t="s">
        <v>11</v>
      </c>
    </row>
    <row r="5333" spans="1:6" x14ac:dyDescent="0.25">
      <c r="A5333" t="str">
        <f>"09707735"</f>
        <v>09707735</v>
      </c>
      <c r="B5333" t="s">
        <v>5615</v>
      </c>
      <c r="C5333" t="s">
        <v>7</v>
      </c>
      <c r="D5333" t="str">
        <f t="shared" si="196"/>
        <v>577626</v>
      </c>
      <c r="E5333" t="s">
        <v>5540</v>
      </c>
      <c r="F5333" t="s">
        <v>1096</v>
      </c>
    </row>
    <row r="5334" spans="1:6" x14ac:dyDescent="0.25">
      <c r="A5334" t="str">
        <f>"26591049"</f>
        <v>26591049</v>
      </c>
      <c r="B5334" t="s">
        <v>5616</v>
      </c>
      <c r="C5334" t="s">
        <v>7</v>
      </c>
      <c r="D5334" t="str">
        <f t="shared" si="196"/>
        <v>577626</v>
      </c>
      <c r="E5334" t="s">
        <v>5540</v>
      </c>
      <c r="F5334" t="s">
        <v>11</v>
      </c>
    </row>
    <row r="5335" spans="1:6" x14ac:dyDescent="0.25">
      <c r="A5335" t="str">
        <f>"69173036"</f>
        <v>69173036</v>
      </c>
      <c r="B5335" t="s">
        <v>5617</v>
      </c>
      <c r="C5335" t="s">
        <v>7</v>
      </c>
      <c r="D5335" t="str">
        <f t="shared" si="196"/>
        <v>577626</v>
      </c>
      <c r="E5335" t="s">
        <v>5540</v>
      </c>
      <c r="F5335" t="s">
        <v>65</v>
      </c>
    </row>
    <row r="5336" spans="1:6" x14ac:dyDescent="0.25">
      <c r="A5336" t="str">
        <f>"49294661"</f>
        <v>49294661</v>
      </c>
      <c r="B5336" t="s">
        <v>5618</v>
      </c>
      <c r="C5336" t="s">
        <v>7</v>
      </c>
      <c r="D5336" t="str">
        <f t="shared" si="196"/>
        <v>577626</v>
      </c>
      <c r="E5336" t="s">
        <v>5540</v>
      </c>
      <c r="F5336" t="s">
        <v>424</v>
      </c>
    </row>
    <row r="5337" spans="1:6" x14ac:dyDescent="0.25">
      <c r="A5337" t="str">
        <f>"70156085"</f>
        <v>70156085</v>
      </c>
      <c r="B5337" t="s">
        <v>5619</v>
      </c>
      <c r="C5337" t="s">
        <v>43</v>
      </c>
      <c r="D5337" t="str">
        <f t="shared" si="196"/>
        <v>577626</v>
      </c>
      <c r="E5337" t="s">
        <v>5540</v>
      </c>
      <c r="F5337" t="s">
        <v>44</v>
      </c>
    </row>
    <row r="5338" spans="1:6" x14ac:dyDescent="0.25">
      <c r="A5338" t="str">
        <f>"70229597"</f>
        <v>70229597</v>
      </c>
      <c r="B5338" t="s">
        <v>5620</v>
      </c>
      <c r="C5338" t="s">
        <v>43</v>
      </c>
      <c r="D5338" t="str">
        <f t="shared" si="196"/>
        <v>577626</v>
      </c>
      <c r="E5338" t="s">
        <v>5540</v>
      </c>
      <c r="F5338" t="s">
        <v>44</v>
      </c>
    </row>
    <row r="5339" spans="1:6" x14ac:dyDescent="0.25">
      <c r="A5339" t="str">
        <f>"26648679"</f>
        <v>26648679</v>
      </c>
      <c r="B5339" t="s">
        <v>5621</v>
      </c>
      <c r="C5339" t="s">
        <v>20</v>
      </c>
      <c r="D5339" t="str">
        <f t="shared" si="196"/>
        <v>577626</v>
      </c>
      <c r="E5339" t="s">
        <v>5540</v>
      </c>
      <c r="F5339" t="s">
        <v>21</v>
      </c>
    </row>
    <row r="5340" spans="1:6" x14ac:dyDescent="0.25">
      <c r="A5340" t="str">
        <f>"01452061"</f>
        <v>01452061</v>
      </c>
      <c r="B5340" t="s">
        <v>5622</v>
      </c>
      <c r="C5340" t="s">
        <v>15</v>
      </c>
      <c r="D5340" t="str">
        <f t="shared" si="196"/>
        <v>577626</v>
      </c>
      <c r="E5340" t="s">
        <v>5540</v>
      </c>
      <c r="F5340" t="s">
        <v>9</v>
      </c>
    </row>
    <row r="5341" spans="1:6" x14ac:dyDescent="0.25">
      <c r="A5341" t="str">
        <f>"22881654"</f>
        <v>22881654</v>
      </c>
      <c r="B5341" t="s">
        <v>5623</v>
      </c>
      <c r="C5341" t="s">
        <v>7</v>
      </c>
      <c r="D5341" t="str">
        <f t="shared" si="196"/>
        <v>577626</v>
      </c>
      <c r="E5341" t="s">
        <v>5540</v>
      </c>
      <c r="F5341" t="s">
        <v>9</v>
      </c>
    </row>
    <row r="5342" spans="1:6" x14ac:dyDescent="0.25">
      <c r="A5342" t="str">
        <f>"62014579"</f>
        <v>62014579</v>
      </c>
      <c r="B5342" t="s">
        <v>5624</v>
      </c>
      <c r="C5342" t="s">
        <v>15</v>
      </c>
      <c r="D5342" t="str">
        <f t="shared" si="196"/>
        <v>577626</v>
      </c>
      <c r="E5342" t="s">
        <v>5540</v>
      </c>
      <c r="F5342" t="s">
        <v>9</v>
      </c>
    </row>
    <row r="5343" spans="1:6" x14ac:dyDescent="0.25">
      <c r="A5343" t="str">
        <f>"49295829"</f>
        <v>49295829</v>
      </c>
      <c r="B5343" t="s">
        <v>5625</v>
      </c>
      <c r="C5343" t="s">
        <v>20</v>
      </c>
      <c r="D5343" t="str">
        <f t="shared" si="196"/>
        <v>577626</v>
      </c>
      <c r="E5343" t="s">
        <v>5540</v>
      </c>
      <c r="F5343" t="s">
        <v>21</v>
      </c>
    </row>
    <row r="5344" spans="1:6" x14ac:dyDescent="0.25">
      <c r="A5344" t="str">
        <f>"08553939"</f>
        <v>08553939</v>
      </c>
      <c r="B5344" t="s">
        <v>5626</v>
      </c>
      <c r="C5344" t="s">
        <v>7</v>
      </c>
      <c r="D5344" t="str">
        <f t="shared" si="196"/>
        <v>577626</v>
      </c>
      <c r="E5344" t="s">
        <v>5540</v>
      </c>
      <c r="F5344" t="s">
        <v>9</v>
      </c>
    </row>
    <row r="5345" spans="1:6" x14ac:dyDescent="0.25">
      <c r="A5345" t="str">
        <f>"70155054"</f>
        <v>70155054</v>
      </c>
      <c r="B5345" t="s">
        <v>5627</v>
      </c>
      <c r="C5345" t="s">
        <v>7</v>
      </c>
      <c r="D5345" t="str">
        <f t="shared" si="196"/>
        <v>577626</v>
      </c>
      <c r="E5345" t="s">
        <v>5540</v>
      </c>
      <c r="F5345" t="s">
        <v>11</v>
      </c>
    </row>
    <row r="5346" spans="1:6" x14ac:dyDescent="0.25">
      <c r="A5346" t="str">
        <f>"26596016"</f>
        <v>26596016</v>
      </c>
      <c r="B5346" t="s">
        <v>5628</v>
      </c>
      <c r="C5346" t="s">
        <v>7</v>
      </c>
      <c r="D5346" t="str">
        <f t="shared" si="196"/>
        <v>577626</v>
      </c>
      <c r="E5346" t="s">
        <v>5540</v>
      </c>
      <c r="F5346" t="s">
        <v>11</v>
      </c>
    </row>
    <row r="5347" spans="1:6" x14ac:dyDescent="0.25">
      <c r="A5347" t="str">
        <f>"15045901"</f>
        <v>15045901</v>
      </c>
      <c r="B5347" t="s">
        <v>5629</v>
      </c>
      <c r="C5347" t="s">
        <v>7</v>
      </c>
      <c r="D5347" t="str">
        <f t="shared" si="196"/>
        <v>577626</v>
      </c>
      <c r="E5347" t="s">
        <v>5540</v>
      </c>
      <c r="F5347" t="s">
        <v>11</v>
      </c>
    </row>
    <row r="5348" spans="1:6" x14ac:dyDescent="0.25">
      <c r="A5348" t="str">
        <f>"19868308"</f>
        <v>19868308</v>
      </c>
      <c r="B5348" t="s">
        <v>5630</v>
      </c>
      <c r="C5348" t="s">
        <v>7</v>
      </c>
      <c r="D5348" t="str">
        <f t="shared" si="196"/>
        <v>577626</v>
      </c>
      <c r="E5348" t="s">
        <v>5540</v>
      </c>
      <c r="F5348" t="s">
        <v>62</v>
      </c>
    </row>
    <row r="5349" spans="1:6" x14ac:dyDescent="0.25">
      <c r="A5349" t="str">
        <f>"01795953"</f>
        <v>01795953</v>
      </c>
      <c r="B5349" t="s">
        <v>5631</v>
      </c>
      <c r="C5349" t="s">
        <v>7</v>
      </c>
      <c r="D5349" t="str">
        <f t="shared" si="196"/>
        <v>577626</v>
      </c>
      <c r="E5349" t="s">
        <v>5540</v>
      </c>
      <c r="F5349" t="s">
        <v>11</v>
      </c>
    </row>
    <row r="5350" spans="1:6" x14ac:dyDescent="0.25">
      <c r="A5350" t="str">
        <f>"22824073"</f>
        <v>22824073</v>
      </c>
      <c r="B5350" t="s">
        <v>5632</v>
      </c>
      <c r="C5350" t="s">
        <v>7</v>
      </c>
      <c r="D5350" t="str">
        <f t="shared" si="196"/>
        <v>577626</v>
      </c>
      <c r="E5350" t="s">
        <v>5540</v>
      </c>
      <c r="F5350" t="s">
        <v>13</v>
      </c>
    </row>
    <row r="5351" spans="1:6" x14ac:dyDescent="0.25">
      <c r="A5351" t="str">
        <f>"27024717"</f>
        <v>27024717</v>
      </c>
      <c r="B5351" t="s">
        <v>5633</v>
      </c>
      <c r="C5351" t="s">
        <v>7</v>
      </c>
      <c r="D5351" t="str">
        <f t="shared" si="196"/>
        <v>577626</v>
      </c>
      <c r="E5351" t="s">
        <v>5540</v>
      </c>
      <c r="F5351" t="s">
        <v>11</v>
      </c>
    </row>
    <row r="5352" spans="1:6" x14ac:dyDescent="0.25">
      <c r="A5352" t="str">
        <f>"26556723"</f>
        <v>26556723</v>
      </c>
      <c r="B5352" t="s">
        <v>5634</v>
      </c>
      <c r="C5352" t="s">
        <v>7</v>
      </c>
      <c r="D5352" t="str">
        <f t="shared" si="196"/>
        <v>577626</v>
      </c>
      <c r="E5352" t="s">
        <v>5540</v>
      </c>
      <c r="F5352" t="s">
        <v>11</v>
      </c>
    </row>
    <row r="5353" spans="1:6" x14ac:dyDescent="0.25">
      <c r="A5353" t="str">
        <f>"06770100"</f>
        <v>06770100</v>
      </c>
      <c r="B5353" t="s">
        <v>5635</v>
      </c>
      <c r="C5353" t="s">
        <v>7</v>
      </c>
      <c r="D5353" t="str">
        <f t="shared" si="196"/>
        <v>577626</v>
      </c>
      <c r="E5353" t="s">
        <v>5540</v>
      </c>
      <c r="F5353" t="s">
        <v>11</v>
      </c>
    </row>
    <row r="5354" spans="1:6" x14ac:dyDescent="0.25">
      <c r="A5354" t="str">
        <f>"10906380"</f>
        <v>10906380</v>
      </c>
      <c r="B5354" t="s">
        <v>5636</v>
      </c>
      <c r="C5354" t="s">
        <v>7</v>
      </c>
      <c r="D5354" t="str">
        <f t="shared" si="196"/>
        <v>577626</v>
      </c>
      <c r="E5354" t="s">
        <v>5540</v>
      </c>
      <c r="F5354" t="s">
        <v>11</v>
      </c>
    </row>
    <row r="5355" spans="1:6" x14ac:dyDescent="0.25">
      <c r="A5355" t="str">
        <f>"01859111"</f>
        <v>01859111</v>
      </c>
      <c r="B5355" t="s">
        <v>5637</v>
      </c>
      <c r="C5355" t="s">
        <v>7</v>
      </c>
      <c r="D5355" t="str">
        <f t="shared" ref="D5355:D5386" si="197">"577626"</f>
        <v>577626</v>
      </c>
      <c r="E5355" t="s">
        <v>5540</v>
      </c>
      <c r="F5355" t="s">
        <v>11</v>
      </c>
    </row>
    <row r="5356" spans="1:6" x14ac:dyDescent="0.25">
      <c r="A5356" t="str">
        <f>"27523331"</f>
        <v>27523331</v>
      </c>
      <c r="B5356" t="s">
        <v>5638</v>
      </c>
      <c r="C5356" t="s">
        <v>78</v>
      </c>
      <c r="D5356" t="str">
        <f t="shared" si="197"/>
        <v>577626</v>
      </c>
      <c r="E5356" t="s">
        <v>5540</v>
      </c>
      <c r="F5356" t="s">
        <v>11</v>
      </c>
    </row>
    <row r="5357" spans="1:6" x14ac:dyDescent="0.25">
      <c r="A5357" t="str">
        <f>"22854517"</f>
        <v>22854517</v>
      </c>
      <c r="B5357" t="s">
        <v>5639</v>
      </c>
      <c r="C5357" t="s">
        <v>7</v>
      </c>
      <c r="D5357" t="str">
        <f t="shared" si="197"/>
        <v>577626</v>
      </c>
      <c r="E5357" t="s">
        <v>5540</v>
      </c>
      <c r="F5357" t="s">
        <v>11</v>
      </c>
    </row>
    <row r="5358" spans="1:6" x14ac:dyDescent="0.25">
      <c r="A5358" t="str">
        <f>"09153331"</f>
        <v>09153331</v>
      </c>
      <c r="B5358" t="s">
        <v>5640</v>
      </c>
      <c r="C5358" t="s">
        <v>7</v>
      </c>
      <c r="D5358" t="str">
        <f t="shared" si="197"/>
        <v>577626</v>
      </c>
      <c r="E5358" t="s">
        <v>5540</v>
      </c>
      <c r="F5358" t="s">
        <v>11</v>
      </c>
    </row>
    <row r="5359" spans="1:6" x14ac:dyDescent="0.25">
      <c r="A5359" t="str">
        <f>"49294067"</f>
        <v>49294067</v>
      </c>
      <c r="B5359" t="s">
        <v>5641</v>
      </c>
      <c r="C5359" t="s">
        <v>43</v>
      </c>
      <c r="D5359" t="str">
        <f t="shared" si="197"/>
        <v>577626</v>
      </c>
      <c r="E5359" t="s">
        <v>5540</v>
      </c>
      <c r="F5359" t="s">
        <v>44</v>
      </c>
    </row>
    <row r="5360" spans="1:6" x14ac:dyDescent="0.25">
      <c r="A5360" t="str">
        <f>"49296221"</f>
        <v>49296221</v>
      </c>
      <c r="B5360" t="s">
        <v>5642</v>
      </c>
      <c r="C5360" t="s">
        <v>43</v>
      </c>
      <c r="D5360" t="str">
        <f t="shared" si="197"/>
        <v>577626</v>
      </c>
      <c r="E5360" t="s">
        <v>5540</v>
      </c>
      <c r="F5360" t="s">
        <v>44</v>
      </c>
    </row>
    <row r="5361" spans="1:6" x14ac:dyDescent="0.25">
      <c r="A5361" t="str">
        <f>"73632660"</f>
        <v>73632660</v>
      </c>
      <c r="B5361" t="s">
        <v>5643</v>
      </c>
      <c r="C5361" t="s">
        <v>43</v>
      </c>
      <c r="D5361" t="str">
        <f t="shared" si="197"/>
        <v>577626</v>
      </c>
      <c r="E5361" t="s">
        <v>5540</v>
      </c>
      <c r="F5361" t="s">
        <v>44</v>
      </c>
    </row>
    <row r="5362" spans="1:6" x14ac:dyDescent="0.25">
      <c r="A5362" t="str">
        <f>"45598029"</f>
        <v>45598029</v>
      </c>
      <c r="B5362" t="s">
        <v>5644</v>
      </c>
      <c r="C5362" t="s">
        <v>43</v>
      </c>
      <c r="D5362" t="str">
        <f t="shared" si="197"/>
        <v>577626</v>
      </c>
      <c r="E5362" t="s">
        <v>5540</v>
      </c>
      <c r="F5362" t="s">
        <v>44</v>
      </c>
    </row>
    <row r="5363" spans="1:6" x14ac:dyDescent="0.25">
      <c r="A5363" t="str">
        <f>"73632350"</f>
        <v>73632350</v>
      </c>
      <c r="B5363" t="s">
        <v>5645</v>
      </c>
      <c r="C5363" t="s">
        <v>43</v>
      </c>
      <c r="D5363" t="str">
        <f t="shared" si="197"/>
        <v>577626</v>
      </c>
      <c r="E5363" t="s">
        <v>5540</v>
      </c>
      <c r="F5363" t="s">
        <v>44</v>
      </c>
    </row>
    <row r="5364" spans="1:6" x14ac:dyDescent="0.25">
      <c r="A5364" t="str">
        <f>"15045838"</f>
        <v>15045838</v>
      </c>
      <c r="B5364" t="s">
        <v>5646</v>
      </c>
      <c r="C5364" t="s">
        <v>7</v>
      </c>
      <c r="D5364" t="str">
        <f t="shared" si="197"/>
        <v>577626</v>
      </c>
      <c r="E5364" t="s">
        <v>5540</v>
      </c>
      <c r="F5364" t="s">
        <v>11</v>
      </c>
    </row>
    <row r="5365" spans="1:6" x14ac:dyDescent="0.25">
      <c r="A5365" t="str">
        <f>"69172412"</f>
        <v>69172412</v>
      </c>
      <c r="B5365" t="s">
        <v>5647</v>
      </c>
      <c r="C5365" t="s">
        <v>7</v>
      </c>
      <c r="D5365" t="str">
        <f t="shared" si="197"/>
        <v>577626</v>
      </c>
      <c r="E5365" t="s">
        <v>5540</v>
      </c>
      <c r="F5365" t="s">
        <v>11</v>
      </c>
    </row>
    <row r="5366" spans="1:6" x14ac:dyDescent="0.25">
      <c r="A5366" t="str">
        <f>"21192421"</f>
        <v>21192421</v>
      </c>
      <c r="B5366" t="s">
        <v>5648</v>
      </c>
      <c r="C5366" t="s">
        <v>7</v>
      </c>
      <c r="D5366" t="str">
        <f t="shared" si="197"/>
        <v>577626</v>
      </c>
      <c r="E5366" t="s">
        <v>5540</v>
      </c>
      <c r="F5366" t="s">
        <v>13</v>
      </c>
    </row>
    <row r="5367" spans="1:6" x14ac:dyDescent="0.25">
      <c r="A5367" t="str">
        <f>"22817379"</f>
        <v>22817379</v>
      </c>
      <c r="B5367" t="s">
        <v>5649</v>
      </c>
      <c r="C5367" t="s">
        <v>7</v>
      </c>
      <c r="D5367" t="str">
        <f t="shared" si="197"/>
        <v>577626</v>
      </c>
      <c r="E5367" t="s">
        <v>5540</v>
      </c>
      <c r="F5367" t="s">
        <v>13</v>
      </c>
    </row>
    <row r="5368" spans="1:6" x14ac:dyDescent="0.25">
      <c r="A5368" t="str">
        <f>"45599394"</f>
        <v>45599394</v>
      </c>
      <c r="B5368" t="s">
        <v>5650</v>
      </c>
      <c r="C5368" t="s">
        <v>15</v>
      </c>
      <c r="D5368" t="str">
        <f t="shared" si="197"/>
        <v>577626</v>
      </c>
      <c r="E5368" t="s">
        <v>5540</v>
      </c>
      <c r="F5368" t="s">
        <v>11</v>
      </c>
    </row>
    <row r="5369" spans="1:6" x14ac:dyDescent="0.25">
      <c r="A5369" t="str">
        <f>"62013467"</f>
        <v>62013467</v>
      </c>
      <c r="B5369" t="s">
        <v>5651</v>
      </c>
      <c r="C5369" t="s">
        <v>15</v>
      </c>
      <c r="D5369" t="str">
        <f t="shared" si="197"/>
        <v>577626</v>
      </c>
      <c r="E5369" t="s">
        <v>5540</v>
      </c>
      <c r="F5369" t="s">
        <v>16</v>
      </c>
    </row>
    <row r="5370" spans="1:6" x14ac:dyDescent="0.25">
      <c r="A5370" t="str">
        <f>"62013483"</f>
        <v>62013483</v>
      </c>
      <c r="B5370" t="s">
        <v>5652</v>
      </c>
      <c r="C5370" t="s">
        <v>15</v>
      </c>
      <c r="D5370" t="str">
        <f t="shared" si="197"/>
        <v>577626</v>
      </c>
      <c r="E5370" t="s">
        <v>5540</v>
      </c>
      <c r="F5370" t="s">
        <v>16</v>
      </c>
    </row>
    <row r="5371" spans="1:6" x14ac:dyDescent="0.25">
      <c r="A5371" t="str">
        <f>"62013475"</f>
        <v>62013475</v>
      </c>
      <c r="B5371" t="s">
        <v>5653</v>
      </c>
      <c r="C5371" t="s">
        <v>15</v>
      </c>
      <c r="D5371" t="str">
        <f t="shared" si="197"/>
        <v>577626</v>
      </c>
      <c r="E5371" t="s">
        <v>5540</v>
      </c>
      <c r="F5371" t="s">
        <v>16</v>
      </c>
    </row>
    <row r="5372" spans="1:6" x14ac:dyDescent="0.25">
      <c r="A5372" t="str">
        <f>"62013459"</f>
        <v>62013459</v>
      </c>
      <c r="B5372" t="s">
        <v>5654</v>
      </c>
      <c r="C5372" t="s">
        <v>15</v>
      </c>
      <c r="D5372" t="str">
        <f t="shared" si="197"/>
        <v>577626</v>
      </c>
      <c r="E5372" t="s">
        <v>5540</v>
      </c>
      <c r="F5372" t="s">
        <v>16</v>
      </c>
    </row>
    <row r="5373" spans="1:6" x14ac:dyDescent="0.25">
      <c r="A5373" t="str">
        <f>"62014064"</f>
        <v>62014064</v>
      </c>
      <c r="B5373" t="s">
        <v>5655</v>
      </c>
      <c r="C5373" t="s">
        <v>15</v>
      </c>
      <c r="D5373" t="str">
        <f t="shared" si="197"/>
        <v>577626</v>
      </c>
      <c r="E5373" t="s">
        <v>5540</v>
      </c>
      <c r="F5373" t="s">
        <v>16</v>
      </c>
    </row>
    <row r="5374" spans="1:6" x14ac:dyDescent="0.25">
      <c r="A5374" t="str">
        <f>"62013424"</f>
        <v>62013424</v>
      </c>
      <c r="B5374" t="s">
        <v>5656</v>
      </c>
      <c r="C5374" t="s">
        <v>15</v>
      </c>
      <c r="D5374" t="str">
        <f t="shared" si="197"/>
        <v>577626</v>
      </c>
      <c r="E5374" t="s">
        <v>5540</v>
      </c>
      <c r="F5374" t="s">
        <v>16</v>
      </c>
    </row>
    <row r="5375" spans="1:6" x14ac:dyDescent="0.25">
      <c r="A5375" t="str">
        <f>"62013327"</f>
        <v>62013327</v>
      </c>
      <c r="B5375" t="s">
        <v>5657</v>
      </c>
      <c r="C5375" t="s">
        <v>7</v>
      </c>
      <c r="D5375" t="str">
        <f t="shared" si="197"/>
        <v>577626</v>
      </c>
      <c r="E5375" t="s">
        <v>5540</v>
      </c>
      <c r="F5375" t="s">
        <v>11</v>
      </c>
    </row>
    <row r="5376" spans="1:6" x14ac:dyDescent="0.25">
      <c r="A5376" t="str">
        <f>"00529702"</f>
        <v>00529702</v>
      </c>
      <c r="B5376" t="s">
        <v>5658</v>
      </c>
      <c r="C5376" t="s">
        <v>7</v>
      </c>
      <c r="D5376" t="str">
        <f t="shared" si="197"/>
        <v>577626</v>
      </c>
      <c r="E5376" t="s">
        <v>5540</v>
      </c>
      <c r="F5376" t="s">
        <v>35</v>
      </c>
    </row>
    <row r="5377" spans="1:6" x14ac:dyDescent="0.25">
      <c r="A5377" t="str">
        <f>"17739942"</f>
        <v>17739942</v>
      </c>
      <c r="B5377" t="s">
        <v>5659</v>
      </c>
      <c r="C5377" t="s">
        <v>7</v>
      </c>
      <c r="D5377" t="str">
        <f t="shared" si="197"/>
        <v>577626</v>
      </c>
      <c r="E5377" t="s">
        <v>5540</v>
      </c>
      <c r="F5377" t="s">
        <v>62</v>
      </c>
    </row>
    <row r="5378" spans="1:6" x14ac:dyDescent="0.25">
      <c r="A5378" t="str">
        <f>"26671468"</f>
        <v>26671468</v>
      </c>
      <c r="B5378" t="s">
        <v>5660</v>
      </c>
      <c r="C5378" t="s">
        <v>7</v>
      </c>
      <c r="D5378" t="str">
        <f t="shared" si="197"/>
        <v>577626</v>
      </c>
      <c r="E5378" t="s">
        <v>5540</v>
      </c>
      <c r="F5378" t="s">
        <v>2455</v>
      </c>
    </row>
    <row r="5379" spans="1:6" x14ac:dyDescent="0.25">
      <c r="A5379" t="str">
        <f>"06592988"</f>
        <v>06592988</v>
      </c>
      <c r="B5379" t="s">
        <v>5661</v>
      </c>
      <c r="C5379" t="s">
        <v>27</v>
      </c>
      <c r="D5379" t="str">
        <f t="shared" si="197"/>
        <v>577626</v>
      </c>
      <c r="E5379" t="s">
        <v>5540</v>
      </c>
      <c r="F5379" t="s">
        <v>11</v>
      </c>
    </row>
    <row r="5380" spans="1:6" x14ac:dyDescent="0.25">
      <c r="A5380" t="str">
        <f>"22268707"</f>
        <v>22268707</v>
      </c>
      <c r="B5380" t="s">
        <v>5662</v>
      </c>
      <c r="C5380" t="s">
        <v>7</v>
      </c>
      <c r="D5380" t="str">
        <f t="shared" si="197"/>
        <v>577626</v>
      </c>
      <c r="E5380" t="s">
        <v>5540</v>
      </c>
      <c r="F5380" t="s">
        <v>11</v>
      </c>
    </row>
    <row r="5381" spans="1:6" x14ac:dyDescent="0.25">
      <c r="A5381" t="str">
        <f>"06394884"</f>
        <v>06394884</v>
      </c>
      <c r="B5381" t="s">
        <v>5663</v>
      </c>
      <c r="C5381" t="s">
        <v>7</v>
      </c>
      <c r="D5381" t="str">
        <f t="shared" si="197"/>
        <v>577626</v>
      </c>
      <c r="E5381" t="s">
        <v>5540</v>
      </c>
      <c r="F5381" t="s">
        <v>11</v>
      </c>
    </row>
    <row r="5382" spans="1:6" x14ac:dyDescent="0.25">
      <c r="A5382" t="str">
        <f>"06138471"</f>
        <v>06138471</v>
      </c>
      <c r="B5382" t="s">
        <v>5664</v>
      </c>
      <c r="C5382" t="s">
        <v>7</v>
      </c>
      <c r="D5382" t="str">
        <f t="shared" si="197"/>
        <v>577626</v>
      </c>
      <c r="E5382" t="s">
        <v>5540</v>
      </c>
      <c r="F5382" t="s">
        <v>11</v>
      </c>
    </row>
    <row r="5383" spans="1:6" x14ac:dyDescent="0.25">
      <c r="A5383" t="str">
        <f>"10867813"</f>
        <v>10867813</v>
      </c>
      <c r="B5383" t="s">
        <v>5665</v>
      </c>
      <c r="C5383" t="s">
        <v>7</v>
      </c>
      <c r="D5383" t="str">
        <f t="shared" si="197"/>
        <v>577626</v>
      </c>
      <c r="E5383" t="s">
        <v>5540</v>
      </c>
      <c r="F5383" t="s">
        <v>13</v>
      </c>
    </row>
    <row r="5384" spans="1:6" x14ac:dyDescent="0.25">
      <c r="A5384" t="str">
        <f>"70104271"</f>
        <v>70104271</v>
      </c>
      <c r="B5384" t="s">
        <v>5666</v>
      </c>
      <c r="C5384" t="s">
        <v>7</v>
      </c>
      <c r="D5384" t="str">
        <f t="shared" si="197"/>
        <v>577626</v>
      </c>
      <c r="E5384" t="s">
        <v>5540</v>
      </c>
      <c r="F5384" t="s">
        <v>11</v>
      </c>
    </row>
    <row r="5385" spans="1:6" x14ac:dyDescent="0.25">
      <c r="A5385" t="str">
        <f>"49295225"</f>
        <v>49295225</v>
      </c>
      <c r="B5385" t="s">
        <v>5667</v>
      </c>
      <c r="C5385" t="s">
        <v>7</v>
      </c>
      <c r="D5385" t="str">
        <f t="shared" si="197"/>
        <v>577626</v>
      </c>
      <c r="E5385" t="s">
        <v>5540</v>
      </c>
      <c r="F5385" t="s">
        <v>11</v>
      </c>
    </row>
    <row r="5386" spans="1:6" x14ac:dyDescent="0.25">
      <c r="A5386" t="str">
        <f>"15045218"</f>
        <v>15045218</v>
      </c>
      <c r="B5386" t="s">
        <v>5668</v>
      </c>
      <c r="C5386" t="s">
        <v>7</v>
      </c>
      <c r="D5386" t="str">
        <f t="shared" si="197"/>
        <v>577626</v>
      </c>
      <c r="E5386" t="s">
        <v>5540</v>
      </c>
      <c r="F5386" t="s">
        <v>11</v>
      </c>
    </row>
    <row r="5387" spans="1:6" x14ac:dyDescent="0.25">
      <c r="A5387" t="str">
        <f>"15045170"</f>
        <v>15045170</v>
      </c>
      <c r="B5387" t="s">
        <v>5669</v>
      </c>
      <c r="C5387" t="s">
        <v>7</v>
      </c>
      <c r="D5387" t="str">
        <f t="shared" ref="D5387:D5418" si="198">"577626"</f>
        <v>577626</v>
      </c>
      <c r="E5387" t="s">
        <v>5540</v>
      </c>
      <c r="F5387" t="s">
        <v>13</v>
      </c>
    </row>
    <row r="5388" spans="1:6" x14ac:dyDescent="0.25">
      <c r="A5388" t="str">
        <f>"15045927"</f>
        <v>15045927</v>
      </c>
      <c r="B5388" t="s">
        <v>5670</v>
      </c>
      <c r="C5388" t="s">
        <v>7</v>
      </c>
      <c r="D5388" t="str">
        <f t="shared" si="198"/>
        <v>577626</v>
      </c>
      <c r="E5388" t="s">
        <v>5540</v>
      </c>
      <c r="F5388" t="s">
        <v>11</v>
      </c>
    </row>
    <row r="5389" spans="1:6" x14ac:dyDescent="0.25">
      <c r="A5389" t="str">
        <f>"22707697"</f>
        <v>22707697</v>
      </c>
      <c r="B5389" t="s">
        <v>5671</v>
      </c>
      <c r="C5389" t="s">
        <v>7</v>
      </c>
      <c r="D5389" t="str">
        <f t="shared" si="198"/>
        <v>577626</v>
      </c>
      <c r="E5389" t="s">
        <v>5540</v>
      </c>
      <c r="F5389" t="s">
        <v>62</v>
      </c>
    </row>
    <row r="5390" spans="1:6" x14ac:dyDescent="0.25">
      <c r="A5390" t="str">
        <f>"04209974"</f>
        <v>04209974</v>
      </c>
      <c r="B5390" t="s">
        <v>5672</v>
      </c>
      <c r="C5390" t="s">
        <v>7</v>
      </c>
      <c r="D5390" t="str">
        <f t="shared" si="198"/>
        <v>577626</v>
      </c>
      <c r="E5390" t="s">
        <v>5540</v>
      </c>
      <c r="F5390" t="s">
        <v>13</v>
      </c>
    </row>
    <row r="5391" spans="1:6" x14ac:dyDescent="0.25">
      <c r="A5391" t="str">
        <f>"22760377"</f>
        <v>22760377</v>
      </c>
      <c r="B5391" t="s">
        <v>5673</v>
      </c>
      <c r="C5391" t="s">
        <v>7</v>
      </c>
      <c r="D5391" t="str">
        <f t="shared" si="198"/>
        <v>577626</v>
      </c>
      <c r="E5391" t="s">
        <v>5540</v>
      </c>
      <c r="F5391" t="s">
        <v>13</v>
      </c>
    </row>
    <row r="5392" spans="1:6" x14ac:dyDescent="0.25">
      <c r="A5392" t="str">
        <f>"70815429"</f>
        <v>70815429</v>
      </c>
      <c r="B5392" t="s">
        <v>5674</v>
      </c>
      <c r="C5392" t="s">
        <v>7</v>
      </c>
      <c r="D5392" t="str">
        <f t="shared" si="198"/>
        <v>577626</v>
      </c>
      <c r="E5392" t="s">
        <v>5540</v>
      </c>
      <c r="F5392" t="s">
        <v>11</v>
      </c>
    </row>
    <row r="5393" spans="1:6" x14ac:dyDescent="0.25">
      <c r="A5393" t="str">
        <f>"05733618"</f>
        <v>05733618</v>
      </c>
      <c r="B5393" t="s">
        <v>5675</v>
      </c>
      <c r="C5393" t="s">
        <v>7</v>
      </c>
      <c r="D5393" t="str">
        <f t="shared" si="198"/>
        <v>577626</v>
      </c>
      <c r="E5393" t="s">
        <v>5540</v>
      </c>
      <c r="F5393" t="s">
        <v>13</v>
      </c>
    </row>
    <row r="5394" spans="1:6" x14ac:dyDescent="0.25">
      <c r="A5394" t="str">
        <f>"08466700"</f>
        <v>08466700</v>
      </c>
      <c r="B5394" t="s">
        <v>5676</v>
      </c>
      <c r="C5394" t="s">
        <v>7</v>
      </c>
      <c r="D5394" t="str">
        <f t="shared" si="198"/>
        <v>577626</v>
      </c>
      <c r="E5394" t="s">
        <v>5540</v>
      </c>
      <c r="F5394" t="s">
        <v>62</v>
      </c>
    </row>
    <row r="5395" spans="1:6" x14ac:dyDescent="0.25">
      <c r="A5395" t="str">
        <f>"02492393"</f>
        <v>02492393</v>
      </c>
      <c r="B5395" t="s">
        <v>5677</v>
      </c>
      <c r="C5395" t="s">
        <v>7</v>
      </c>
      <c r="D5395" t="str">
        <f t="shared" si="198"/>
        <v>577626</v>
      </c>
      <c r="E5395" t="s">
        <v>5540</v>
      </c>
      <c r="F5395" t="s">
        <v>29</v>
      </c>
    </row>
    <row r="5396" spans="1:6" x14ac:dyDescent="0.25">
      <c r="A5396" t="str">
        <f>"26550687"</f>
        <v>26550687</v>
      </c>
      <c r="B5396" t="s">
        <v>5678</v>
      </c>
      <c r="C5396" t="s">
        <v>7</v>
      </c>
      <c r="D5396" t="str">
        <f t="shared" si="198"/>
        <v>577626</v>
      </c>
      <c r="E5396" t="s">
        <v>5540</v>
      </c>
      <c r="F5396" t="s">
        <v>9</v>
      </c>
    </row>
    <row r="5397" spans="1:6" x14ac:dyDescent="0.25">
      <c r="A5397" t="str">
        <f>"22837825"</f>
        <v>22837825</v>
      </c>
      <c r="B5397" t="s">
        <v>5679</v>
      </c>
      <c r="C5397" t="s">
        <v>7</v>
      </c>
      <c r="D5397" t="str">
        <f t="shared" si="198"/>
        <v>577626</v>
      </c>
      <c r="E5397" t="s">
        <v>5540</v>
      </c>
      <c r="F5397" t="s">
        <v>9</v>
      </c>
    </row>
    <row r="5398" spans="1:6" x14ac:dyDescent="0.25">
      <c r="A5398" t="str">
        <f>"27022650"</f>
        <v>27022650</v>
      </c>
      <c r="B5398" t="s">
        <v>5680</v>
      </c>
      <c r="C5398" t="s">
        <v>7</v>
      </c>
      <c r="D5398" t="str">
        <f t="shared" si="198"/>
        <v>577626</v>
      </c>
      <c r="E5398" t="s">
        <v>5540</v>
      </c>
      <c r="F5398" t="s">
        <v>9</v>
      </c>
    </row>
    <row r="5399" spans="1:6" x14ac:dyDescent="0.25">
      <c r="A5399" t="str">
        <f>"26652846"</f>
        <v>26652846</v>
      </c>
      <c r="B5399" t="s">
        <v>5681</v>
      </c>
      <c r="C5399" t="s">
        <v>7</v>
      </c>
      <c r="D5399" t="str">
        <f t="shared" si="198"/>
        <v>577626</v>
      </c>
      <c r="E5399" t="s">
        <v>5540</v>
      </c>
      <c r="F5399" t="s">
        <v>9</v>
      </c>
    </row>
    <row r="5400" spans="1:6" x14ac:dyDescent="0.25">
      <c r="A5400" t="str">
        <f>"09515542"</f>
        <v>09515542</v>
      </c>
      <c r="B5400" t="s">
        <v>5682</v>
      </c>
      <c r="C5400" t="s">
        <v>7</v>
      </c>
      <c r="D5400" t="str">
        <f t="shared" si="198"/>
        <v>577626</v>
      </c>
      <c r="E5400" t="s">
        <v>5540</v>
      </c>
      <c r="F5400" t="s">
        <v>29</v>
      </c>
    </row>
    <row r="5401" spans="1:6" x14ac:dyDescent="0.25">
      <c r="A5401" t="str">
        <f>"07305656"</f>
        <v>07305656</v>
      </c>
      <c r="B5401" t="s">
        <v>5683</v>
      </c>
      <c r="C5401" t="s">
        <v>7</v>
      </c>
      <c r="D5401" t="str">
        <f t="shared" si="198"/>
        <v>577626</v>
      </c>
      <c r="E5401" t="s">
        <v>5540</v>
      </c>
      <c r="F5401" t="s">
        <v>328</v>
      </c>
    </row>
    <row r="5402" spans="1:6" x14ac:dyDescent="0.25">
      <c r="A5402" t="str">
        <f>"22743987"</f>
        <v>22743987</v>
      </c>
      <c r="B5402" t="s">
        <v>5684</v>
      </c>
      <c r="C5402" t="s">
        <v>15</v>
      </c>
      <c r="D5402" t="str">
        <f t="shared" si="198"/>
        <v>577626</v>
      </c>
      <c r="E5402" t="s">
        <v>5540</v>
      </c>
      <c r="F5402" t="s">
        <v>9</v>
      </c>
    </row>
    <row r="5403" spans="1:6" x14ac:dyDescent="0.25">
      <c r="A5403" t="str">
        <f>"72744383"</f>
        <v>72744383</v>
      </c>
      <c r="B5403" t="s">
        <v>5685</v>
      </c>
      <c r="C5403" t="s">
        <v>15</v>
      </c>
      <c r="D5403" t="str">
        <f t="shared" si="198"/>
        <v>577626</v>
      </c>
      <c r="E5403" t="s">
        <v>5540</v>
      </c>
      <c r="F5403" t="s">
        <v>137</v>
      </c>
    </row>
    <row r="5404" spans="1:6" x14ac:dyDescent="0.25">
      <c r="A5404" t="str">
        <f>"62691708"</f>
        <v>62691708</v>
      </c>
      <c r="B5404" t="s">
        <v>5686</v>
      </c>
      <c r="C5404" t="s">
        <v>7</v>
      </c>
      <c r="D5404" t="str">
        <f t="shared" si="198"/>
        <v>577626</v>
      </c>
      <c r="E5404" t="s">
        <v>5540</v>
      </c>
      <c r="F5404" t="s">
        <v>389</v>
      </c>
    </row>
    <row r="5405" spans="1:6" x14ac:dyDescent="0.25">
      <c r="A5405" t="str">
        <f>"02994763"</f>
        <v>02994763</v>
      </c>
      <c r="B5405" t="s">
        <v>5687</v>
      </c>
      <c r="C5405" t="s">
        <v>20</v>
      </c>
      <c r="D5405" t="str">
        <f t="shared" si="198"/>
        <v>577626</v>
      </c>
      <c r="E5405" t="s">
        <v>5540</v>
      </c>
      <c r="F5405" t="s">
        <v>21</v>
      </c>
    </row>
    <row r="5406" spans="1:6" x14ac:dyDescent="0.25">
      <c r="A5406" t="str">
        <f>"22722815"</f>
        <v>22722815</v>
      </c>
      <c r="B5406" t="s">
        <v>5688</v>
      </c>
      <c r="C5406" t="s">
        <v>7</v>
      </c>
      <c r="D5406" t="str">
        <f t="shared" si="198"/>
        <v>577626</v>
      </c>
      <c r="E5406" t="s">
        <v>5540</v>
      </c>
      <c r="F5406" t="s">
        <v>11</v>
      </c>
    </row>
    <row r="5407" spans="1:6" x14ac:dyDescent="0.25">
      <c r="A5407" t="str">
        <f>"07240791"</f>
        <v>07240791</v>
      </c>
      <c r="B5407" t="s">
        <v>5689</v>
      </c>
      <c r="C5407" t="s">
        <v>7</v>
      </c>
      <c r="D5407" t="str">
        <f t="shared" si="198"/>
        <v>577626</v>
      </c>
      <c r="E5407" t="s">
        <v>5540</v>
      </c>
      <c r="F5407" t="s">
        <v>35</v>
      </c>
    </row>
    <row r="5408" spans="1:6" x14ac:dyDescent="0.25">
      <c r="A5408" t="str">
        <f>"49295071"</f>
        <v>49295071</v>
      </c>
      <c r="B5408" t="s">
        <v>5690</v>
      </c>
      <c r="C5408" t="s">
        <v>7</v>
      </c>
      <c r="D5408" t="str">
        <f t="shared" si="198"/>
        <v>577626</v>
      </c>
      <c r="E5408" t="s">
        <v>5540</v>
      </c>
      <c r="F5408" t="s">
        <v>62</v>
      </c>
    </row>
    <row r="5409" spans="1:6" x14ac:dyDescent="0.25">
      <c r="A5409" t="str">
        <f>"13582518"</f>
        <v>13582518</v>
      </c>
      <c r="B5409" t="s">
        <v>5691</v>
      </c>
      <c r="C5409" t="s">
        <v>15</v>
      </c>
      <c r="D5409" t="str">
        <f t="shared" si="198"/>
        <v>577626</v>
      </c>
      <c r="E5409" t="s">
        <v>5540</v>
      </c>
      <c r="F5409" t="s">
        <v>65</v>
      </c>
    </row>
    <row r="5410" spans="1:6" x14ac:dyDescent="0.25">
      <c r="A5410" t="str">
        <f>"15045528"</f>
        <v>15045528</v>
      </c>
      <c r="B5410" t="s">
        <v>5692</v>
      </c>
      <c r="C5410" t="s">
        <v>7</v>
      </c>
      <c r="D5410" t="str">
        <f t="shared" si="198"/>
        <v>577626</v>
      </c>
      <c r="E5410" t="s">
        <v>5540</v>
      </c>
      <c r="F5410" t="s">
        <v>65</v>
      </c>
    </row>
    <row r="5411" spans="1:6" x14ac:dyDescent="0.25">
      <c r="A5411" t="str">
        <f>"15045544"</f>
        <v>15045544</v>
      </c>
      <c r="B5411" t="s">
        <v>5693</v>
      </c>
      <c r="C5411" t="s">
        <v>7</v>
      </c>
      <c r="D5411" t="str">
        <f t="shared" si="198"/>
        <v>577626</v>
      </c>
      <c r="E5411" t="s">
        <v>5540</v>
      </c>
      <c r="F5411" t="s">
        <v>35</v>
      </c>
    </row>
    <row r="5412" spans="1:6" x14ac:dyDescent="0.25">
      <c r="A5412" t="str">
        <f>"15045145"</f>
        <v>15045145</v>
      </c>
      <c r="B5412" t="s">
        <v>5694</v>
      </c>
      <c r="C5412" t="s">
        <v>7</v>
      </c>
      <c r="D5412" t="str">
        <f t="shared" si="198"/>
        <v>577626</v>
      </c>
      <c r="E5412" t="s">
        <v>5540</v>
      </c>
      <c r="F5412" t="s">
        <v>35</v>
      </c>
    </row>
    <row r="5413" spans="1:6" x14ac:dyDescent="0.25">
      <c r="A5413" t="str">
        <f>"22726811"</f>
        <v>22726811</v>
      </c>
      <c r="B5413" t="s">
        <v>5695</v>
      </c>
      <c r="C5413" t="s">
        <v>7</v>
      </c>
      <c r="D5413" t="str">
        <f t="shared" si="198"/>
        <v>577626</v>
      </c>
      <c r="E5413" t="s">
        <v>5540</v>
      </c>
      <c r="F5413" t="s">
        <v>9</v>
      </c>
    </row>
    <row r="5414" spans="1:6" x14ac:dyDescent="0.25">
      <c r="A5414" t="str">
        <f>"15045595"</f>
        <v>15045595</v>
      </c>
      <c r="B5414" t="s">
        <v>5696</v>
      </c>
      <c r="C5414" t="s">
        <v>7</v>
      </c>
      <c r="D5414" t="str">
        <f t="shared" si="198"/>
        <v>577626</v>
      </c>
      <c r="E5414" t="s">
        <v>5540</v>
      </c>
      <c r="F5414" t="s">
        <v>11</v>
      </c>
    </row>
    <row r="5415" spans="1:6" x14ac:dyDescent="0.25">
      <c r="A5415" t="str">
        <f>"06299202"</f>
        <v>06299202</v>
      </c>
      <c r="B5415" t="s">
        <v>5697</v>
      </c>
      <c r="C5415" t="s">
        <v>7</v>
      </c>
      <c r="D5415" t="str">
        <f t="shared" si="198"/>
        <v>577626</v>
      </c>
      <c r="E5415" t="s">
        <v>5540</v>
      </c>
      <c r="F5415" t="s">
        <v>139</v>
      </c>
    </row>
    <row r="5416" spans="1:6" x14ac:dyDescent="0.25">
      <c r="A5416" t="str">
        <f>"13585291"</f>
        <v>13585291</v>
      </c>
      <c r="B5416" t="s">
        <v>5698</v>
      </c>
      <c r="C5416" t="s">
        <v>7</v>
      </c>
      <c r="D5416" t="str">
        <f t="shared" si="198"/>
        <v>577626</v>
      </c>
      <c r="E5416" t="s">
        <v>5540</v>
      </c>
      <c r="F5416" t="s">
        <v>11</v>
      </c>
    </row>
    <row r="5417" spans="1:6" x14ac:dyDescent="0.25">
      <c r="A5417" t="str">
        <f>"03691705"</f>
        <v>03691705</v>
      </c>
      <c r="B5417" t="s">
        <v>5699</v>
      </c>
      <c r="C5417" t="s">
        <v>7</v>
      </c>
      <c r="D5417" t="str">
        <f t="shared" si="198"/>
        <v>577626</v>
      </c>
      <c r="E5417" t="s">
        <v>5540</v>
      </c>
      <c r="F5417" t="s">
        <v>29</v>
      </c>
    </row>
    <row r="5418" spans="1:6" x14ac:dyDescent="0.25">
      <c r="A5418" t="str">
        <f>"03626440"</f>
        <v>03626440</v>
      </c>
      <c r="B5418" t="s">
        <v>5700</v>
      </c>
      <c r="C5418" t="s">
        <v>7</v>
      </c>
      <c r="D5418" t="str">
        <f t="shared" si="198"/>
        <v>577626</v>
      </c>
      <c r="E5418" t="s">
        <v>5540</v>
      </c>
      <c r="F5418" t="s">
        <v>11</v>
      </c>
    </row>
    <row r="5419" spans="1:6" x14ac:dyDescent="0.25">
      <c r="A5419" t="str">
        <f>"26611856"</f>
        <v>26611856</v>
      </c>
      <c r="B5419" t="s">
        <v>5701</v>
      </c>
      <c r="C5419" t="s">
        <v>7</v>
      </c>
      <c r="D5419" t="str">
        <f t="shared" ref="D5419:D5447" si="199">"577626"</f>
        <v>577626</v>
      </c>
      <c r="E5419" t="s">
        <v>5540</v>
      </c>
      <c r="F5419" t="s">
        <v>11</v>
      </c>
    </row>
    <row r="5420" spans="1:6" x14ac:dyDescent="0.25">
      <c r="A5420" t="str">
        <f>"68246218"</f>
        <v>68246218</v>
      </c>
      <c r="B5420" t="s">
        <v>5702</v>
      </c>
      <c r="C5420" t="s">
        <v>7</v>
      </c>
      <c r="D5420" t="str">
        <f t="shared" si="199"/>
        <v>577626</v>
      </c>
      <c r="E5420" t="s">
        <v>5540</v>
      </c>
      <c r="F5420" t="s">
        <v>604</v>
      </c>
    </row>
    <row r="5421" spans="1:6" x14ac:dyDescent="0.25">
      <c r="A5421" t="str">
        <f>"26592169"</f>
        <v>26592169</v>
      </c>
      <c r="B5421" t="s">
        <v>5703</v>
      </c>
      <c r="C5421" t="s">
        <v>7</v>
      </c>
      <c r="D5421" t="str">
        <f t="shared" si="199"/>
        <v>577626</v>
      </c>
      <c r="E5421" t="s">
        <v>5540</v>
      </c>
      <c r="F5421" t="s">
        <v>9</v>
      </c>
    </row>
    <row r="5422" spans="1:6" x14ac:dyDescent="0.25">
      <c r="A5422" t="str">
        <f>"01897187"</f>
        <v>01897187</v>
      </c>
      <c r="B5422" t="s">
        <v>5704</v>
      </c>
      <c r="C5422" t="s">
        <v>7</v>
      </c>
      <c r="D5422" t="str">
        <f t="shared" si="199"/>
        <v>577626</v>
      </c>
      <c r="E5422" t="s">
        <v>5540</v>
      </c>
      <c r="F5422" t="s">
        <v>35</v>
      </c>
    </row>
    <row r="5423" spans="1:6" x14ac:dyDescent="0.25">
      <c r="A5423" t="str">
        <f>"22761799"</f>
        <v>22761799</v>
      </c>
      <c r="B5423" t="s">
        <v>5705</v>
      </c>
      <c r="C5423" t="s">
        <v>7</v>
      </c>
      <c r="D5423" t="str">
        <f t="shared" si="199"/>
        <v>577626</v>
      </c>
      <c r="E5423" t="s">
        <v>5540</v>
      </c>
      <c r="F5423" t="s">
        <v>62</v>
      </c>
    </row>
    <row r="5424" spans="1:6" x14ac:dyDescent="0.25">
      <c r="A5424" t="str">
        <f>"09047883"</f>
        <v>09047883</v>
      </c>
      <c r="B5424" t="s">
        <v>5706</v>
      </c>
      <c r="C5424" t="s">
        <v>7</v>
      </c>
      <c r="D5424" t="str">
        <f t="shared" si="199"/>
        <v>577626</v>
      </c>
      <c r="E5424" t="s">
        <v>5540</v>
      </c>
      <c r="F5424" t="s">
        <v>11</v>
      </c>
    </row>
    <row r="5425" spans="1:6" x14ac:dyDescent="0.25">
      <c r="A5425" t="str">
        <f>"17944384"</f>
        <v>17944384</v>
      </c>
      <c r="B5425" t="s">
        <v>5707</v>
      </c>
      <c r="C5425" t="s">
        <v>27</v>
      </c>
      <c r="D5425" t="str">
        <f t="shared" si="199"/>
        <v>577626</v>
      </c>
      <c r="E5425" t="s">
        <v>5540</v>
      </c>
      <c r="F5425" t="s">
        <v>5554</v>
      </c>
    </row>
    <row r="5426" spans="1:6" x14ac:dyDescent="0.25">
      <c r="A5426" t="str">
        <f>"26004674"</f>
        <v>26004674</v>
      </c>
      <c r="B5426" t="s">
        <v>5708</v>
      </c>
      <c r="C5426" t="s">
        <v>78</v>
      </c>
      <c r="D5426" t="str">
        <f t="shared" si="199"/>
        <v>577626</v>
      </c>
      <c r="E5426" t="s">
        <v>5540</v>
      </c>
      <c r="F5426" t="s">
        <v>865</v>
      </c>
    </row>
    <row r="5427" spans="1:6" x14ac:dyDescent="0.25">
      <c r="A5427" t="str">
        <f>"06734111"</f>
        <v>06734111</v>
      </c>
      <c r="B5427" t="s">
        <v>5709</v>
      </c>
      <c r="C5427" t="s">
        <v>7</v>
      </c>
      <c r="D5427" t="str">
        <f t="shared" si="199"/>
        <v>577626</v>
      </c>
      <c r="E5427" t="s">
        <v>5540</v>
      </c>
      <c r="F5427" t="s">
        <v>1096</v>
      </c>
    </row>
    <row r="5428" spans="1:6" x14ac:dyDescent="0.25">
      <c r="A5428" t="str">
        <f>"27023095"</f>
        <v>27023095</v>
      </c>
      <c r="B5428" t="s">
        <v>5710</v>
      </c>
      <c r="C5428" t="s">
        <v>7</v>
      </c>
      <c r="D5428" t="str">
        <f t="shared" si="199"/>
        <v>577626</v>
      </c>
      <c r="E5428" t="s">
        <v>5540</v>
      </c>
      <c r="F5428" t="s">
        <v>11</v>
      </c>
    </row>
    <row r="5429" spans="1:6" x14ac:dyDescent="0.25">
      <c r="A5429" t="str">
        <f>"05673968"</f>
        <v>05673968</v>
      </c>
      <c r="B5429" t="s">
        <v>5711</v>
      </c>
      <c r="C5429" t="s">
        <v>20</v>
      </c>
      <c r="D5429" t="str">
        <f t="shared" si="199"/>
        <v>577626</v>
      </c>
      <c r="E5429" t="s">
        <v>5540</v>
      </c>
      <c r="F5429" t="s">
        <v>21</v>
      </c>
    </row>
    <row r="5430" spans="1:6" x14ac:dyDescent="0.25">
      <c r="A5430" t="str">
        <f>"04703901"</f>
        <v>04703901</v>
      </c>
      <c r="B5430" t="s">
        <v>5712</v>
      </c>
      <c r="C5430" t="s">
        <v>20</v>
      </c>
      <c r="D5430" t="str">
        <f t="shared" si="199"/>
        <v>577626</v>
      </c>
      <c r="E5430" t="s">
        <v>5540</v>
      </c>
      <c r="F5430" t="s">
        <v>21</v>
      </c>
    </row>
    <row r="5431" spans="1:6" x14ac:dyDescent="0.25">
      <c r="A5431" t="str">
        <f>"72557583"</f>
        <v>72557583</v>
      </c>
      <c r="B5431" t="s">
        <v>5713</v>
      </c>
      <c r="C5431" t="s">
        <v>15</v>
      </c>
      <c r="D5431" t="str">
        <f t="shared" si="199"/>
        <v>577626</v>
      </c>
      <c r="E5431" t="s">
        <v>5540</v>
      </c>
      <c r="F5431" t="s">
        <v>29</v>
      </c>
    </row>
    <row r="5432" spans="1:6" x14ac:dyDescent="0.25">
      <c r="A5432" t="str">
        <f>"72563800"</f>
        <v>72563800</v>
      </c>
      <c r="B5432" t="s">
        <v>5714</v>
      </c>
      <c r="C5432" t="s">
        <v>15</v>
      </c>
      <c r="D5432" t="str">
        <f t="shared" si="199"/>
        <v>577626</v>
      </c>
      <c r="E5432" t="s">
        <v>5540</v>
      </c>
      <c r="F5432" t="s">
        <v>29</v>
      </c>
    </row>
    <row r="5433" spans="1:6" x14ac:dyDescent="0.25">
      <c r="A5433" t="str">
        <f>"22606696"</f>
        <v>22606696</v>
      </c>
      <c r="B5433" t="s">
        <v>5715</v>
      </c>
      <c r="C5433" t="s">
        <v>20</v>
      </c>
      <c r="D5433" t="str">
        <f t="shared" si="199"/>
        <v>577626</v>
      </c>
      <c r="E5433" t="s">
        <v>5540</v>
      </c>
      <c r="F5433" t="s">
        <v>21</v>
      </c>
    </row>
    <row r="5434" spans="1:6" x14ac:dyDescent="0.25">
      <c r="A5434" t="str">
        <f>"70898294"</f>
        <v>70898294</v>
      </c>
      <c r="B5434" t="s">
        <v>5716</v>
      </c>
      <c r="C5434" t="s">
        <v>20</v>
      </c>
      <c r="D5434" t="str">
        <f t="shared" si="199"/>
        <v>577626</v>
      </c>
      <c r="E5434" t="s">
        <v>5540</v>
      </c>
      <c r="F5434" t="s">
        <v>21</v>
      </c>
    </row>
    <row r="5435" spans="1:6" x14ac:dyDescent="0.25">
      <c r="A5435" t="str">
        <f>"71239901"</f>
        <v>71239901</v>
      </c>
      <c r="B5435" t="s">
        <v>5717</v>
      </c>
      <c r="C5435" t="s">
        <v>20</v>
      </c>
      <c r="D5435" t="str">
        <f t="shared" si="199"/>
        <v>577626</v>
      </c>
      <c r="E5435" t="s">
        <v>5540</v>
      </c>
      <c r="F5435" t="s">
        <v>21</v>
      </c>
    </row>
    <row r="5436" spans="1:6" x14ac:dyDescent="0.25">
      <c r="A5436" t="str">
        <f>"06164013"</f>
        <v>06164013</v>
      </c>
      <c r="B5436" t="s">
        <v>5718</v>
      </c>
      <c r="C5436" t="s">
        <v>20</v>
      </c>
      <c r="D5436" t="str">
        <f t="shared" si="199"/>
        <v>577626</v>
      </c>
      <c r="E5436" t="s">
        <v>5540</v>
      </c>
      <c r="F5436" t="s">
        <v>21</v>
      </c>
    </row>
    <row r="5437" spans="1:6" x14ac:dyDescent="0.25">
      <c r="A5437" t="str">
        <f>"15044947"</f>
        <v>15044947</v>
      </c>
      <c r="B5437" t="s">
        <v>5719</v>
      </c>
      <c r="C5437" t="s">
        <v>20</v>
      </c>
      <c r="D5437" t="str">
        <f t="shared" si="199"/>
        <v>577626</v>
      </c>
      <c r="E5437" t="s">
        <v>5540</v>
      </c>
      <c r="F5437" t="s">
        <v>21</v>
      </c>
    </row>
    <row r="5438" spans="1:6" x14ac:dyDescent="0.25">
      <c r="A5438" t="str">
        <f>"70910758"</f>
        <v>70910758</v>
      </c>
      <c r="B5438" t="s">
        <v>5720</v>
      </c>
      <c r="C5438" t="s">
        <v>20</v>
      </c>
      <c r="D5438" t="str">
        <f t="shared" si="199"/>
        <v>577626</v>
      </c>
      <c r="E5438" t="s">
        <v>5540</v>
      </c>
      <c r="F5438" t="s">
        <v>21</v>
      </c>
    </row>
    <row r="5439" spans="1:6" x14ac:dyDescent="0.25">
      <c r="A5439" t="str">
        <f>"72026413"</f>
        <v>72026413</v>
      </c>
      <c r="B5439" t="s">
        <v>5721</v>
      </c>
      <c r="C5439" t="s">
        <v>15</v>
      </c>
      <c r="D5439" t="str">
        <f t="shared" si="199"/>
        <v>577626</v>
      </c>
      <c r="E5439" t="s">
        <v>5540</v>
      </c>
      <c r="F5439" t="s">
        <v>18</v>
      </c>
    </row>
    <row r="5440" spans="1:6" x14ac:dyDescent="0.25">
      <c r="A5440" t="str">
        <f>"07871660"</f>
        <v>07871660</v>
      </c>
      <c r="B5440" t="s">
        <v>5722</v>
      </c>
      <c r="C5440" t="s">
        <v>20</v>
      </c>
      <c r="D5440" t="str">
        <f t="shared" si="199"/>
        <v>577626</v>
      </c>
      <c r="E5440" t="s">
        <v>5540</v>
      </c>
      <c r="F5440" t="s">
        <v>21</v>
      </c>
    </row>
    <row r="5441" spans="1:6" x14ac:dyDescent="0.25">
      <c r="A5441" t="str">
        <f>"08635897"</f>
        <v>08635897</v>
      </c>
      <c r="B5441" t="s">
        <v>5723</v>
      </c>
      <c r="C5441" t="s">
        <v>20</v>
      </c>
      <c r="D5441" t="str">
        <f t="shared" si="199"/>
        <v>577626</v>
      </c>
      <c r="E5441" t="s">
        <v>5540</v>
      </c>
      <c r="F5441" t="s">
        <v>21</v>
      </c>
    </row>
    <row r="5442" spans="1:6" x14ac:dyDescent="0.25">
      <c r="A5442" t="str">
        <f>"15043312"</f>
        <v>15043312</v>
      </c>
      <c r="B5442" t="s">
        <v>5724</v>
      </c>
      <c r="C5442" t="s">
        <v>20</v>
      </c>
      <c r="D5442" t="str">
        <f t="shared" si="199"/>
        <v>577626</v>
      </c>
      <c r="E5442" t="s">
        <v>5540</v>
      </c>
      <c r="F5442" t="s">
        <v>21</v>
      </c>
    </row>
    <row r="5443" spans="1:6" x14ac:dyDescent="0.25">
      <c r="A5443" t="str">
        <f>"49295055"</f>
        <v>49295055</v>
      </c>
      <c r="B5443" t="s">
        <v>5725</v>
      </c>
      <c r="C5443" t="s">
        <v>20</v>
      </c>
      <c r="D5443" t="str">
        <f t="shared" si="199"/>
        <v>577626</v>
      </c>
      <c r="E5443" t="s">
        <v>5540</v>
      </c>
      <c r="F5443" t="s">
        <v>21</v>
      </c>
    </row>
    <row r="5444" spans="1:6" x14ac:dyDescent="0.25">
      <c r="A5444" t="str">
        <f>"70954941"</f>
        <v>70954941</v>
      </c>
      <c r="B5444" t="s">
        <v>5726</v>
      </c>
      <c r="C5444" t="s">
        <v>20</v>
      </c>
      <c r="D5444" t="str">
        <f t="shared" si="199"/>
        <v>577626</v>
      </c>
      <c r="E5444" t="s">
        <v>5540</v>
      </c>
      <c r="F5444" t="s">
        <v>21</v>
      </c>
    </row>
    <row r="5445" spans="1:6" x14ac:dyDescent="0.25">
      <c r="A5445" t="str">
        <f>"01205056"</f>
        <v>01205056</v>
      </c>
      <c r="B5445" t="s">
        <v>5727</v>
      </c>
      <c r="C5445" t="s">
        <v>20</v>
      </c>
      <c r="D5445" t="str">
        <f t="shared" si="199"/>
        <v>577626</v>
      </c>
      <c r="E5445" t="s">
        <v>5540</v>
      </c>
      <c r="F5445" t="s">
        <v>21</v>
      </c>
    </row>
    <row r="5446" spans="1:6" x14ac:dyDescent="0.25">
      <c r="A5446" t="str">
        <f>"09363009"</f>
        <v>09363009</v>
      </c>
      <c r="B5446" t="s">
        <v>5728</v>
      </c>
      <c r="C5446" t="s">
        <v>7</v>
      </c>
      <c r="D5446" t="str">
        <f t="shared" si="199"/>
        <v>577626</v>
      </c>
      <c r="E5446" t="s">
        <v>5540</v>
      </c>
      <c r="F5446" t="s">
        <v>11</v>
      </c>
    </row>
    <row r="5447" spans="1:6" x14ac:dyDescent="0.25">
      <c r="A5447" t="str">
        <f>"26996456"</f>
        <v>26996456</v>
      </c>
      <c r="B5447" t="s">
        <v>5729</v>
      </c>
      <c r="C5447" t="s">
        <v>7</v>
      </c>
      <c r="D5447" t="str">
        <f t="shared" si="199"/>
        <v>577626</v>
      </c>
      <c r="E5447" t="s">
        <v>5540</v>
      </c>
      <c r="F5447" t="s">
        <v>11</v>
      </c>
    </row>
    <row r="5448" spans="1:6" x14ac:dyDescent="0.25">
      <c r="A5448" t="str">
        <f>"75147912"</f>
        <v>75147912</v>
      </c>
      <c r="B5448" t="s">
        <v>5730</v>
      </c>
      <c r="C5448" t="s">
        <v>15</v>
      </c>
      <c r="D5448" t="str">
        <f>"562173"</f>
        <v>562173</v>
      </c>
      <c r="E5448" t="s">
        <v>5731</v>
      </c>
      <c r="F5448" t="s">
        <v>16</v>
      </c>
    </row>
    <row r="5449" spans="1:6" x14ac:dyDescent="0.25">
      <c r="A5449" t="str">
        <f>"49864491"</f>
        <v>49864491</v>
      </c>
      <c r="B5449" t="s">
        <v>5732</v>
      </c>
      <c r="C5449" t="s">
        <v>7</v>
      </c>
      <c r="D5449" t="str">
        <f>"562173"</f>
        <v>562173</v>
      </c>
      <c r="E5449" t="s">
        <v>5731</v>
      </c>
      <c r="F5449" t="s">
        <v>9</v>
      </c>
    </row>
    <row r="5450" spans="1:6" x14ac:dyDescent="0.25">
      <c r="A5450" t="str">
        <f>"22890351"</f>
        <v>22890351</v>
      </c>
      <c r="B5450" t="s">
        <v>5733</v>
      </c>
      <c r="C5450" t="s">
        <v>15</v>
      </c>
      <c r="D5450" t="str">
        <f t="shared" ref="D5450:D5473" si="200">"563838"</f>
        <v>563838</v>
      </c>
      <c r="E5450" t="s">
        <v>5734</v>
      </c>
      <c r="F5450" t="s">
        <v>139</v>
      </c>
    </row>
    <row r="5451" spans="1:6" x14ac:dyDescent="0.25">
      <c r="A5451" t="str">
        <f>"75107015"</f>
        <v>75107015</v>
      </c>
      <c r="B5451" t="s">
        <v>5735</v>
      </c>
      <c r="C5451" t="s">
        <v>15</v>
      </c>
      <c r="D5451" t="str">
        <f t="shared" si="200"/>
        <v>563838</v>
      </c>
      <c r="E5451" t="s">
        <v>5734</v>
      </c>
      <c r="F5451" t="s">
        <v>29</v>
      </c>
    </row>
    <row r="5452" spans="1:6" x14ac:dyDescent="0.25">
      <c r="A5452" t="str">
        <f>"75106426"</f>
        <v>75106426</v>
      </c>
      <c r="B5452" t="s">
        <v>5736</v>
      </c>
      <c r="C5452" t="s">
        <v>15</v>
      </c>
      <c r="D5452" t="str">
        <f t="shared" si="200"/>
        <v>563838</v>
      </c>
      <c r="E5452" t="s">
        <v>5734</v>
      </c>
      <c r="F5452" t="s">
        <v>11</v>
      </c>
    </row>
    <row r="5453" spans="1:6" x14ac:dyDescent="0.25">
      <c r="A5453" t="str">
        <f>"43256244"</f>
        <v>43256244</v>
      </c>
      <c r="B5453" t="s">
        <v>5737</v>
      </c>
      <c r="C5453" t="s">
        <v>7</v>
      </c>
      <c r="D5453" t="str">
        <f t="shared" si="200"/>
        <v>563838</v>
      </c>
      <c r="E5453" t="s">
        <v>5734</v>
      </c>
      <c r="F5453" t="s">
        <v>9</v>
      </c>
    </row>
    <row r="5454" spans="1:6" x14ac:dyDescent="0.25">
      <c r="A5454" t="str">
        <f>"06620345"</f>
        <v>06620345</v>
      </c>
      <c r="B5454" t="s">
        <v>5738</v>
      </c>
      <c r="C5454" t="s">
        <v>7</v>
      </c>
      <c r="D5454" t="str">
        <f t="shared" si="200"/>
        <v>563838</v>
      </c>
      <c r="E5454" t="s">
        <v>5734</v>
      </c>
      <c r="F5454" t="s">
        <v>11</v>
      </c>
    </row>
    <row r="5455" spans="1:6" x14ac:dyDescent="0.25">
      <c r="A5455" t="str">
        <f>"75085399"</f>
        <v>75085399</v>
      </c>
      <c r="B5455" t="s">
        <v>5739</v>
      </c>
      <c r="C5455" t="s">
        <v>15</v>
      </c>
      <c r="D5455" t="str">
        <f t="shared" si="200"/>
        <v>563838</v>
      </c>
      <c r="E5455" t="s">
        <v>5734</v>
      </c>
      <c r="F5455" t="s">
        <v>11</v>
      </c>
    </row>
    <row r="5456" spans="1:6" x14ac:dyDescent="0.25">
      <c r="A5456" t="str">
        <f>"71010131"</f>
        <v>71010131</v>
      </c>
      <c r="B5456" t="s">
        <v>5740</v>
      </c>
      <c r="C5456" t="s">
        <v>37</v>
      </c>
      <c r="D5456" t="str">
        <f t="shared" si="200"/>
        <v>563838</v>
      </c>
      <c r="E5456" t="s">
        <v>5734</v>
      </c>
      <c r="F5456" t="s">
        <v>38</v>
      </c>
    </row>
    <row r="5457" spans="1:6" x14ac:dyDescent="0.25">
      <c r="A5457" t="str">
        <f>"60252057"</f>
        <v>60252057</v>
      </c>
      <c r="B5457" t="s">
        <v>5741</v>
      </c>
      <c r="C5457" t="s">
        <v>7</v>
      </c>
      <c r="D5457" t="str">
        <f t="shared" si="200"/>
        <v>563838</v>
      </c>
      <c r="E5457" t="s">
        <v>5734</v>
      </c>
      <c r="F5457" t="s">
        <v>11</v>
      </c>
    </row>
    <row r="5458" spans="1:6" x14ac:dyDescent="0.25">
      <c r="A5458" t="str">
        <f>"22731164"</f>
        <v>22731164</v>
      </c>
      <c r="B5458" t="s">
        <v>5742</v>
      </c>
      <c r="C5458" t="s">
        <v>7</v>
      </c>
      <c r="D5458" t="str">
        <f t="shared" si="200"/>
        <v>563838</v>
      </c>
      <c r="E5458" t="s">
        <v>5734</v>
      </c>
      <c r="F5458" t="s">
        <v>11</v>
      </c>
    </row>
    <row r="5459" spans="1:6" x14ac:dyDescent="0.25">
      <c r="A5459" t="str">
        <f>"66111579"</f>
        <v>66111579</v>
      </c>
      <c r="B5459" t="s">
        <v>5743</v>
      </c>
      <c r="C5459" t="s">
        <v>7</v>
      </c>
      <c r="D5459" t="str">
        <f t="shared" si="200"/>
        <v>563838</v>
      </c>
      <c r="E5459" t="s">
        <v>5734</v>
      </c>
      <c r="F5459" t="s">
        <v>38</v>
      </c>
    </row>
    <row r="5460" spans="1:6" x14ac:dyDescent="0.25">
      <c r="A5460" t="str">
        <f>"28561228"</f>
        <v>28561228</v>
      </c>
      <c r="B5460" t="s">
        <v>5744</v>
      </c>
      <c r="C5460" t="s">
        <v>7</v>
      </c>
      <c r="D5460" t="str">
        <f t="shared" si="200"/>
        <v>563838</v>
      </c>
      <c r="E5460" t="s">
        <v>5734</v>
      </c>
      <c r="F5460" t="s">
        <v>11</v>
      </c>
    </row>
    <row r="5461" spans="1:6" x14ac:dyDescent="0.25">
      <c r="A5461" t="str">
        <f>"17776422"</f>
        <v>17776422</v>
      </c>
      <c r="B5461" t="s">
        <v>5745</v>
      </c>
      <c r="C5461" t="s">
        <v>7</v>
      </c>
      <c r="D5461" t="str">
        <f t="shared" si="200"/>
        <v>563838</v>
      </c>
      <c r="E5461" t="s">
        <v>5734</v>
      </c>
      <c r="F5461" t="s">
        <v>18</v>
      </c>
    </row>
    <row r="5462" spans="1:6" x14ac:dyDescent="0.25">
      <c r="A5462" t="str">
        <f>"75092131"</f>
        <v>75092131</v>
      </c>
      <c r="B5462" t="s">
        <v>5746</v>
      </c>
      <c r="C5462" t="s">
        <v>15</v>
      </c>
      <c r="D5462" t="str">
        <f t="shared" si="200"/>
        <v>563838</v>
      </c>
      <c r="E5462" t="s">
        <v>5734</v>
      </c>
      <c r="F5462" t="s">
        <v>16</v>
      </c>
    </row>
    <row r="5463" spans="1:6" x14ac:dyDescent="0.25">
      <c r="A5463" t="str">
        <f>"08393265"</f>
        <v>08393265</v>
      </c>
      <c r="B5463" t="s">
        <v>5747</v>
      </c>
      <c r="C5463" t="s">
        <v>7</v>
      </c>
      <c r="D5463" t="str">
        <f t="shared" si="200"/>
        <v>563838</v>
      </c>
      <c r="E5463" t="s">
        <v>5734</v>
      </c>
      <c r="F5463" t="s">
        <v>5748</v>
      </c>
    </row>
    <row r="5464" spans="1:6" x14ac:dyDescent="0.25">
      <c r="A5464" t="str">
        <f>"14865661"</f>
        <v>14865661</v>
      </c>
      <c r="B5464" t="s">
        <v>5749</v>
      </c>
      <c r="C5464" t="s">
        <v>15</v>
      </c>
      <c r="D5464" t="str">
        <f t="shared" si="200"/>
        <v>563838</v>
      </c>
      <c r="E5464" t="s">
        <v>5734</v>
      </c>
      <c r="F5464" t="s">
        <v>16</v>
      </c>
    </row>
    <row r="5465" spans="1:6" x14ac:dyDescent="0.25">
      <c r="A5465" t="str">
        <f>"64668304"</f>
        <v>64668304</v>
      </c>
      <c r="B5465" t="s">
        <v>5750</v>
      </c>
      <c r="C5465" t="s">
        <v>15</v>
      </c>
      <c r="D5465" t="str">
        <f t="shared" si="200"/>
        <v>563838</v>
      </c>
      <c r="E5465" t="s">
        <v>5734</v>
      </c>
      <c r="F5465" t="s">
        <v>16</v>
      </c>
    </row>
    <row r="5466" spans="1:6" x14ac:dyDescent="0.25">
      <c r="A5466" t="str">
        <f>"43257577"</f>
        <v>43257577</v>
      </c>
      <c r="B5466" t="s">
        <v>5751</v>
      </c>
      <c r="C5466" t="s">
        <v>15</v>
      </c>
      <c r="D5466" t="str">
        <f t="shared" si="200"/>
        <v>563838</v>
      </c>
      <c r="E5466" t="s">
        <v>5734</v>
      </c>
      <c r="F5466" t="s">
        <v>16</v>
      </c>
    </row>
    <row r="5467" spans="1:6" x14ac:dyDescent="0.25">
      <c r="A5467" t="str">
        <f>"64668916"</f>
        <v>64668916</v>
      </c>
      <c r="B5467" t="s">
        <v>5752</v>
      </c>
      <c r="C5467" t="s">
        <v>7</v>
      </c>
      <c r="D5467" t="str">
        <f t="shared" si="200"/>
        <v>563838</v>
      </c>
      <c r="E5467" t="s">
        <v>5734</v>
      </c>
      <c r="F5467" t="s">
        <v>9</v>
      </c>
    </row>
    <row r="5468" spans="1:6" x14ac:dyDescent="0.25">
      <c r="A5468" t="str">
        <f>"05623596"</f>
        <v>05623596</v>
      </c>
      <c r="B5468" t="s">
        <v>5753</v>
      </c>
      <c r="C5468" t="s">
        <v>7</v>
      </c>
      <c r="D5468" t="str">
        <f t="shared" si="200"/>
        <v>563838</v>
      </c>
      <c r="E5468" t="s">
        <v>5734</v>
      </c>
      <c r="F5468" t="s">
        <v>13</v>
      </c>
    </row>
    <row r="5469" spans="1:6" x14ac:dyDescent="0.25">
      <c r="A5469" t="str">
        <f>"75013185"</f>
        <v>75013185</v>
      </c>
      <c r="B5469" t="s">
        <v>5754</v>
      </c>
      <c r="C5469" t="s">
        <v>15</v>
      </c>
      <c r="D5469" t="str">
        <f t="shared" si="200"/>
        <v>563838</v>
      </c>
      <c r="E5469" t="s">
        <v>5734</v>
      </c>
      <c r="F5469" t="s">
        <v>137</v>
      </c>
    </row>
    <row r="5470" spans="1:6" x14ac:dyDescent="0.25">
      <c r="A5470" t="str">
        <f>"60252871"</f>
        <v>60252871</v>
      </c>
      <c r="B5470" t="s">
        <v>5755</v>
      </c>
      <c r="C5470" t="s">
        <v>15</v>
      </c>
      <c r="D5470" t="str">
        <f t="shared" si="200"/>
        <v>563838</v>
      </c>
      <c r="E5470" t="s">
        <v>5734</v>
      </c>
      <c r="F5470" t="s">
        <v>9</v>
      </c>
    </row>
    <row r="5471" spans="1:6" x14ac:dyDescent="0.25">
      <c r="A5471" t="str">
        <f>"60252529"</f>
        <v>60252529</v>
      </c>
      <c r="B5471" t="s">
        <v>5756</v>
      </c>
      <c r="C5471" t="s">
        <v>15</v>
      </c>
      <c r="D5471" t="str">
        <f t="shared" si="200"/>
        <v>563838</v>
      </c>
      <c r="E5471" t="s">
        <v>5734</v>
      </c>
      <c r="F5471" t="s">
        <v>9</v>
      </c>
    </row>
    <row r="5472" spans="1:6" x14ac:dyDescent="0.25">
      <c r="A5472" t="str">
        <f>"16389298"</f>
        <v>16389298</v>
      </c>
      <c r="B5472" t="s">
        <v>5757</v>
      </c>
      <c r="C5472" t="s">
        <v>7</v>
      </c>
      <c r="D5472" t="str">
        <f t="shared" si="200"/>
        <v>563838</v>
      </c>
      <c r="E5472" t="s">
        <v>5734</v>
      </c>
      <c r="F5472" t="s">
        <v>9</v>
      </c>
    </row>
    <row r="5473" spans="1:6" x14ac:dyDescent="0.25">
      <c r="A5473" t="str">
        <f>"70917426"</f>
        <v>70917426</v>
      </c>
      <c r="B5473" t="s">
        <v>5758</v>
      </c>
      <c r="C5473" t="s">
        <v>20</v>
      </c>
      <c r="D5473" t="str">
        <f t="shared" si="200"/>
        <v>563838</v>
      </c>
      <c r="E5473" t="s">
        <v>5734</v>
      </c>
      <c r="F5473" t="s">
        <v>21</v>
      </c>
    </row>
    <row r="5474" spans="1:6" x14ac:dyDescent="0.25">
      <c r="A5474" t="str">
        <f>"48282103"</f>
        <v>48282103</v>
      </c>
      <c r="B5474" t="s">
        <v>5759</v>
      </c>
      <c r="C5474" t="s">
        <v>7</v>
      </c>
      <c r="D5474" t="str">
        <f>"562203"</f>
        <v>562203</v>
      </c>
      <c r="E5474" t="s">
        <v>5760</v>
      </c>
      <c r="F5474" t="s">
        <v>38</v>
      </c>
    </row>
    <row r="5475" spans="1:6" x14ac:dyDescent="0.25">
      <c r="A5475" t="str">
        <f>"75147882"</f>
        <v>75147882</v>
      </c>
      <c r="B5475" t="s">
        <v>5761</v>
      </c>
      <c r="C5475" t="s">
        <v>15</v>
      </c>
      <c r="D5475" t="str">
        <f>"562203"</f>
        <v>562203</v>
      </c>
      <c r="E5475" t="s">
        <v>5760</v>
      </c>
      <c r="F5475" t="s">
        <v>16</v>
      </c>
    </row>
    <row r="5476" spans="1:6" x14ac:dyDescent="0.25">
      <c r="A5476" t="str">
        <f>"07585993"</f>
        <v>07585993</v>
      </c>
      <c r="B5476" t="s">
        <v>5762</v>
      </c>
      <c r="C5476" t="s">
        <v>7</v>
      </c>
      <c r="D5476" t="str">
        <f>"562203"</f>
        <v>562203</v>
      </c>
      <c r="E5476" t="s">
        <v>5760</v>
      </c>
      <c r="F5476" t="s">
        <v>11</v>
      </c>
    </row>
    <row r="5477" spans="1:6" x14ac:dyDescent="0.25">
      <c r="A5477" t="str">
        <f>"48282880"</f>
        <v>48282880</v>
      </c>
      <c r="B5477" t="s">
        <v>5763</v>
      </c>
      <c r="C5477" t="s">
        <v>7</v>
      </c>
      <c r="D5477" t="str">
        <f>"562203"</f>
        <v>562203</v>
      </c>
      <c r="E5477" t="s">
        <v>5760</v>
      </c>
      <c r="F5477" t="s">
        <v>9</v>
      </c>
    </row>
    <row r="5478" spans="1:6" x14ac:dyDescent="0.25">
      <c r="A5478" t="str">
        <f>"06240429"</f>
        <v>06240429</v>
      </c>
      <c r="B5478" t="s">
        <v>5764</v>
      </c>
      <c r="C5478" t="s">
        <v>27</v>
      </c>
      <c r="D5478" t="str">
        <f>"577642"</f>
        <v>577642</v>
      </c>
      <c r="E5478" t="s">
        <v>5765</v>
      </c>
      <c r="F5478" t="s">
        <v>11</v>
      </c>
    </row>
    <row r="5479" spans="1:6" x14ac:dyDescent="0.25">
      <c r="A5479" t="str">
        <f>"22735577"</f>
        <v>22735577</v>
      </c>
      <c r="B5479" t="s">
        <v>5766</v>
      </c>
      <c r="C5479" t="s">
        <v>7</v>
      </c>
      <c r="D5479" t="str">
        <f>"577642"</f>
        <v>577642</v>
      </c>
      <c r="E5479" t="s">
        <v>5765</v>
      </c>
      <c r="F5479" t="s">
        <v>11</v>
      </c>
    </row>
    <row r="5480" spans="1:6" x14ac:dyDescent="0.25">
      <c r="A5480" t="str">
        <f>"06634818"</f>
        <v>06634818</v>
      </c>
      <c r="B5480" t="s">
        <v>5767</v>
      </c>
      <c r="C5480" t="s">
        <v>7</v>
      </c>
      <c r="D5480" t="str">
        <f>"577642"</f>
        <v>577642</v>
      </c>
      <c r="E5480" t="s">
        <v>5765</v>
      </c>
      <c r="F5480" t="s">
        <v>35</v>
      </c>
    </row>
    <row r="5481" spans="1:6" x14ac:dyDescent="0.25">
      <c r="A5481" t="str">
        <f>"62014595"</f>
        <v>62014595</v>
      </c>
      <c r="B5481" t="s">
        <v>5768</v>
      </c>
      <c r="C5481" t="s">
        <v>15</v>
      </c>
      <c r="D5481" t="str">
        <f>"577642"</f>
        <v>577642</v>
      </c>
      <c r="E5481" t="s">
        <v>5765</v>
      </c>
      <c r="F5481" t="s">
        <v>16</v>
      </c>
    </row>
    <row r="5482" spans="1:6" x14ac:dyDescent="0.25">
      <c r="A5482" t="str">
        <f>"04287703"</f>
        <v>04287703</v>
      </c>
      <c r="B5482" t="s">
        <v>5769</v>
      </c>
      <c r="C5482" t="s">
        <v>7</v>
      </c>
      <c r="D5482" t="str">
        <f>"577642"</f>
        <v>577642</v>
      </c>
      <c r="E5482" t="s">
        <v>5765</v>
      </c>
      <c r="F5482" t="s">
        <v>11</v>
      </c>
    </row>
    <row r="5483" spans="1:6" x14ac:dyDescent="0.25">
      <c r="A5483" t="str">
        <f>"46748377"</f>
        <v>46748377</v>
      </c>
      <c r="B5483" t="s">
        <v>5770</v>
      </c>
      <c r="C5483" t="s">
        <v>15</v>
      </c>
      <c r="D5483" t="str">
        <f t="shared" ref="D5483:D5499" si="201">"564494"</f>
        <v>564494</v>
      </c>
      <c r="E5483" t="s">
        <v>5771</v>
      </c>
      <c r="F5483" t="s">
        <v>29</v>
      </c>
    </row>
    <row r="5484" spans="1:6" x14ac:dyDescent="0.25">
      <c r="A5484" t="str">
        <f>"19305699"</f>
        <v>19305699</v>
      </c>
      <c r="B5484" t="s">
        <v>5772</v>
      </c>
      <c r="C5484" t="s">
        <v>7</v>
      </c>
      <c r="D5484" t="str">
        <f t="shared" si="201"/>
        <v>564494</v>
      </c>
      <c r="E5484" t="s">
        <v>5771</v>
      </c>
      <c r="F5484" t="s">
        <v>328</v>
      </c>
    </row>
    <row r="5485" spans="1:6" x14ac:dyDescent="0.25">
      <c r="A5485" t="str">
        <f>"22889752"</f>
        <v>22889752</v>
      </c>
      <c r="B5485" t="s">
        <v>5773</v>
      </c>
      <c r="C5485" t="s">
        <v>7</v>
      </c>
      <c r="D5485" t="str">
        <f t="shared" si="201"/>
        <v>564494</v>
      </c>
      <c r="E5485" t="s">
        <v>5771</v>
      </c>
      <c r="F5485" t="s">
        <v>18</v>
      </c>
    </row>
    <row r="5486" spans="1:6" x14ac:dyDescent="0.25">
      <c r="A5486" t="str">
        <f>"71170651"</f>
        <v>71170651</v>
      </c>
      <c r="B5486" t="s">
        <v>5774</v>
      </c>
      <c r="C5486" t="s">
        <v>37</v>
      </c>
      <c r="D5486" t="str">
        <f t="shared" si="201"/>
        <v>564494</v>
      </c>
      <c r="E5486" t="s">
        <v>5771</v>
      </c>
      <c r="F5486" t="s">
        <v>38</v>
      </c>
    </row>
    <row r="5487" spans="1:6" x14ac:dyDescent="0.25">
      <c r="A5487" t="str">
        <f>"71180133"</f>
        <v>71180133</v>
      </c>
      <c r="B5487" t="s">
        <v>5775</v>
      </c>
      <c r="C5487" t="s">
        <v>37</v>
      </c>
      <c r="D5487" t="str">
        <f t="shared" si="201"/>
        <v>564494</v>
      </c>
      <c r="E5487" t="s">
        <v>5771</v>
      </c>
      <c r="F5487" t="s">
        <v>38</v>
      </c>
    </row>
    <row r="5488" spans="1:6" x14ac:dyDescent="0.25">
      <c r="A5488" t="str">
        <f>"22661948"</f>
        <v>22661948</v>
      </c>
      <c r="B5488" t="s">
        <v>5776</v>
      </c>
      <c r="C5488" t="s">
        <v>7</v>
      </c>
      <c r="D5488" t="str">
        <f t="shared" si="201"/>
        <v>564494</v>
      </c>
      <c r="E5488" t="s">
        <v>5771</v>
      </c>
      <c r="F5488" t="s">
        <v>11</v>
      </c>
    </row>
    <row r="5489" spans="1:6" x14ac:dyDescent="0.25">
      <c r="A5489" t="str">
        <f>"22889507"</f>
        <v>22889507</v>
      </c>
      <c r="B5489" t="s">
        <v>5777</v>
      </c>
      <c r="C5489" t="s">
        <v>7</v>
      </c>
      <c r="D5489" t="str">
        <f t="shared" si="201"/>
        <v>564494</v>
      </c>
      <c r="E5489" t="s">
        <v>5771</v>
      </c>
      <c r="F5489" t="s">
        <v>18</v>
      </c>
    </row>
    <row r="5490" spans="1:6" x14ac:dyDescent="0.25">
      <c r="A5490" t="str">
        <f>"65100328"</f>
        <v>65100328</v>
      </c>
      <c r="B5490" t="s">
        <v>5778</v>
      </c>
      <c r="C5490" t="s">
        <v>7</v>
      </c>
      <c r="D5490" t="str">
        <f t="shared" si="201"/>
        <v>564494</v>
      </c>
      <c r="E5490" t="s">
        <v>5771</v>
      </c>
      <c r="F5490" t="s">
        <v>11</v>
      </c>
    </row>
    <row r="5491" spans="1:6" x14ac:dyDescent="0.25">
      <c r="A5491" t="str">
        <f>"70860238"</f>
        <v>70860238</v>
      </c>
      <c r="B5491" t="s">
        <v>5779</v>
      </c>
      <c r="C5491" t="s">
        <v>7</v>
      </c>
      <c r="D5491" t="str">
        <f t="shared" si="201"/>
        <v>564494</v>
      </c>
      <c r="E5491" t="s">
        <v>5771</v>
      </c>
      <c r="F5491" t="s">
        <v>11</v>
      </c>
    </row>
    <row r="5492" spans="1:6" x14ac:dyDescent="0.25">
      <c r="A5492" t="str">
        <f>"49111795"</f>
        <v>49111795</v>
      </c>
      <c r="B5492" t="s">
        <v>5780</v>
      </c>
      <c r="C5492" t="s">
        <v>15</v>
      </c>
      <c r="D5492" t="str">
        <f t="shared" si="201"/>
        <v>564494</v>
      </c>
      <c r="E5492" t="s">
        <v>5771</v>
      </c>
      <c r="F5492" t="s">
        <v>16</v>
      </c>
    </row>
    <row r="5493" spans="1:6" x14ac:dyDescent="0.25">
      <c r="A5493" t="str">
        <f>"49111701"</f>
        <v>49111701</v>
      </c>
      <c r="B5493" t="s">
        <v>5781</v>
      </c>
      <c r="C5493" t="s">
        <v>15</v>
      </c>
      <c r="D5493" t="str">
        <f t="shared" si="201"/>
        <v>564494</v>
      </c>
      <c r="E5493" t="s">
        <v>5771</v>
      </c>
      <c r="F5493" t="s">
        <v>16</v>
      </c>
    </row>
    <row r="5494" spans="1:6" x14ac:dyDescent="0.25">
      <c r="A5494" t="str">
        <f>"49111876"</f>
        <v>49111876</v>
      </c>
      <c r="B5494" t="s">
        <v>5782</v>
      </c>
      <c r="C5494" t="s">
        <v>15</v>
      </c>
      <c r="D5494" t="str">
        <f t="shared" si="201"/>
        <v>564494</v>
      </c>
      <c r="E5494" t="s">
        <v>5771</v>
      </c>
      <c r="F5494" t="s">
        <v>16</v>
      </c>
    </row>
    <row r="5495" spans="1:6" x14ac:dyDescent="0.25">
      <c r="A5495" t="str">
        <f>"49111752"</f>
        <v>49111752</v>
      </c>
      <c r="B5495" t="s">
        <v>5783</v>
      </c>
      <c r="C5495" t="s">
        <v>15</v>
      </c>
      <c r="D5495" t="str">
        <f t="shared" si="201"/>
        <v>564494</v>
      </c>
      <c r="E5495" t="s">
        <v>5771</v>
      </c>
      <c r="F5495" t="s">
        <v>16</v>
      </c>
    </row>
    <row r="5496" spans="1:6" x14ac:dyDescent="0.25">
      <c r="A5496" t="str">
        <f>"49111868"</f>
        <v>49111868</v>
      </c>
      <c r="B5496" t="s">
        <v>5784</v>
      </c>
      <c r="C5496" t="s">
        <v>15</v>
      </c>
      <c r="D5496" t="str">
        <f t="shared" si="201"/>
        <v>564494</v>
      </c>
      <c r="E5496" t="s">
        <v>5771</v>
      </c>
      <c r="F5496" t="s">
        <v>16</v>
      </c>
    </row>
    <row r="5497" spans="1:6" x14ac:dyDescent="0.25">
      <c r="A5497" t="str">
        <f>"46744975"</f>
        <v>46744975</v>
      </c>
      <c r="B5497" t="s">
        <v>5785</v>
      </c>
      <c r="C5497" t="s">
        <v>7</v>
      </c>
      <c r="D5497" t="str">
        <f t="shared" si="201"/>
        <v>564494</v>
      </c>
      <c r="E5497" t="s">
        <v>5771</v>
      </c>
      <c r="F5497" t="s">
        <v>9</v>
      </c>
    </row>
    <row r="5498" spans="1:6" x14ac:dyDescent="0.25">
      <c r="A5498" t="str">
        <f>"71188282"</f>
        <v>71188282</v>
      </c>
      <c r="B5498" t="s">
        <v>5786</v>
      </c>
      <c r="C5498" t="s">
        <v>20</v>
      </c>
      <c r="D5498" t="str">
        <f t="shared" si="201"/>
        <v>564494</v>
      </c>
      <c r="E5498" t="s">
        <v>5771</v>
      </c>
      <c r="F5498" t="s">
        <v>21</v>
      </c>
    </row>
    <row r="5499" spans="1:6" x14ac:dyDescent="0.25">
      <c r="A5499" t="str">
        <f>"46748148"</f>
        <v>46748148</v>
      </c>
      <c r="B5499" t="s">
        <v>5787</v>
      </c>
      <c r="C5499" t="s">
        <v>20</v>
      </c>
      <c r="D5499" t="str">
        <f t="shared" si="201"/>
        <v>564494</v>
      </c>
      <c r="E5499" t="s">
        <v>5771</v>
      </c>
      <c r="F5499" t="s">
        <v>21</v>
      </c>
    </row>
    <row r="5500" spans="1:6" x14ac:dyDescent="0.25">
      <c r="A5500" t="str">
        <f>"19127014"</f>
        <v>19127014</v>
      </c>
      <c r="B5500" t="s">
        <v>5788</v>
      </c>
      <c r="C5500" t="s">
        <v>7</v>
      </c>
      <c r="D5500" t="str">
        <f>"563846"</f>
        <v>563846</v>
      </c>
      <c r="E5500" t="s">
        <v>5789</v>
      </c>
      <c r="F5500" t="s">
        <v>11</v>
      </c>
    </row>
    <row r="5501" spans="1:6" x14ac:dyDescent="0.25">
      <c r="A5501" t="str">
        <f>"64668312"</f>
        <v>64668312</v>
      </c>
      <c r="B5501" t="s">
        <v>5790</v>
      </c>
      <c r="C5501" t="s">
        <v>15</v>
      </c>
      <c r="D5501" t="str">
        <f>"563846"</f>
        <v>563846</v>
      </c>
      <c r="E5501" t="s">
        <v>5789</v>
      </c>
      <c r="F5501" t="s">
        <v>16</v>
      </c>
    </row>
    <row r="5502" spans="1:6" x14ac:dyDescent="0.25">
      <c r="A5502" t="str">
        <f>"26559986"</f>
        <v>26559986</v>
      </c>
      <c r="B5502" t="s">
        <v>5791</v>
      </c>
      <c r="C5502" t="s">
        <v>7</v>
      </c>
      <c r="D5502" t="str">
        <f t="shared" ref="D5502:D5510" si="202">"564516"</f>
        <v>564516</v>
      </c>
      <c r="E5502" t="s">
        <v>5792</v>
      </c>
      <c r="F5502" t="s">
        <v>11</v>
      </c>
    </row>
    <row r="5503" spans="1:6" x14ac:dyDescent="0.25">
      <c r="A5503" t="str">
        <f>"46745858"</f>
        <v>46745858</v>
      </c>
      <c r="B5503" t="s">
        <v>5793</v>
      </c>
      <c r="C5503" t="s">
        <v>7</v>
      </c>
      <c r="D5503" t="str">
        <f t="shared" si="202"/>
        <v>564516</v>
      </c>
      <c r="E5503" t="s">
        <v>5792</v>
      </c>
      <c r="F5503" t="s">
        <v>38</v>
      </c>
    </row>
    <row r="5504" spans="1:6" x14ac:dyDescent="0.25">
      <c r="A5504" t="str">
        <f>"09683399"</f>
        <v>09683399</v>
      </c>
      <c r="B5504" t="s">
        <v>5794</v>
      </c>
      <c r="C5504" t="s">
        <v>7</v>
      </c>
      <c r="D5504" t="str">
        <f t="shared" si="202"/>
        <v>564516</v>
      </c>
      <c r="E5504" t="s">
        <v>5792</v>
      </c>
      <c r="F5504" t="s">
        <v>11</v>
      </c>
    </row>
    <row r="5505" spans="1:6" x14ac:dyDescent="0.25">
      <c r="A5505" t="str">
        <f>"64039048"</f>
        <v>64039048</v>
      </c>
      <c r="B5505" t="s">
        <v>5795</v>
      </c>
      <c r="C5505" t="s">
        <v>15</v>
      </c>
      <c r="D5505" t="str">
        <f t="shared" si="202"/>
        <v>564516</v>
      </c>
      <c r="E5505" t="s">
        <v>5792</v>
      </c>
      <c r="F5505" t="s">
        <v>16</v>
      </c>
    </row>
    <row r="5506" spans="1:6" x14ac:dyDescent="0.25">
      <c r="A5506" t="str">
        <f>"05053129"</f>
        <v>05053129</v>
      </c>
      <c r="B5506" t="s">
        <v>5796</v>
      </c>
      <c r="C5506" t="s">
        <v>7</v>
      </c>
      <c r="D5506" t="str">
        <f t="shared" si="202"/>
        <v>564516</v>
      </c>
      <c r="E5506" t="s">
        <v>5792</v>
      </c>
      <c r="F5506" t="s">
        <v>29</v>
      </c>
    </row>
    <row r="5507" spans="1:6" x14ac:dyDescent="0.25">
      <c r="A5507" t="str">
        <f>"46749624"</f>
        <v>46749624</v>
      </c>
      <c r="B5507" t="s">
        <v>5797</v>
      </c>
      <c r="C5507" t="s">
        <v>15</v>
      </c>
      <c r="D5507" t="str">
        <f t="shared" si="202"/>
        <v>564516</v>
      </c>
      <c r="E5507" t="s">
        <v>5792</v>
      </c>
      <c r="F5507" t="s">
        <v>9</v>
      </c>
    </row>
    <row r="5508" spans="1:6" x14ac:dyDescent="0.25">
      <c r="A5508" t="str">
        <f>"19680970"</f>
        <v>19680970</v>
      </c>
      <c r="B5508" t="s">
        <v>5798</v>
      </c>
      <c r="C5508" t="s">
        <v>7</v>
      </c>
      <c r="D5508" t="str">
        <f t="shared" si="202"/>
        <v>564516</v>
      </c>
      <c r="E5508" t="s">
        <v>5792</v>
      </c>
      <c r="F5508" t="s">
        <v>13</v>
      </c>
    </row>
    <row r="5509" spans="1:6" x14ac:dyDescent="0.25">
      <c r="A5509" t="str">
        <f>"06563953"</f>
        <v>06563953</v>
      </c>
      <c r="B5509" t="s">
        <v>5799</v>
      </c>
      <c r="C5509" t="s">
        <v>7</v>
      </c>
      <c r="D5509" t="str">
        <f t="shared" si="202"/>
        <v>564516</v>
      </c>
      <c r="E5509" t="s">
        <v>5792</v>
      </c>
      <c r="F5509" t="s">
        <v>865</v>
      </c>
    </row>
    <row r="5510" spans="1:6" x14ac:dyDescent="0.25">
      <c r="A5510" t="str">
        <f>"69292094"</f>
        <v>69292094</v>
      </c>
      <c r="B5510" t="s">
        <v>5800</v>
      </c>
      <c r="C5510" t="s">
        <v>7</v>
      </c>
      <c r="D5510" t="str">
        <f t="shared" si="202"/>
        <v>564516</v>
      </c>
      <c r="E5510" t="s">
        <v>5792</v>
      </c>
      <c r="F5510" t="s">
        <v>65</v>
      </c>
    </row>
    <row r="5511" spans="1:6" x14ac:dyDescent="0.25">
      <c r="A5511" t="str">
        <f>"22740988"</f>
        <v>22740988</v>
      </c>
      <c r="B5511" t="s">
        <v>5801</v>
      </c>
      <c r="C5511" t="s">
        <v>7</v>
      </c>
      <c r="D5511" t="str">
        <f>"562220"</f>
        <v>562220</v>
      </c>
      <c r="E5511" t="s">
        <v>5802</v>
      </c>
      <c r="F5511" t="s">
        <v>11</v>
      </c>
    </row>
    <row r="5512" spans="1:6" x14ac:dyDescent="0.25">
      <c r="A5512" t="str">
        <f>"02224402"</f>
        <v>02224402</v>
      </c>
      <c r="B5512" t="s">
        <v>5803</v>
      </c>
      <c r="C5512" t="s">
        <v>7</v>
      </c>
      <c r="D5512" t="str">
        <f>"562220"</f>
        <v>562220</v>
      </c>
      <c r="E5512" t="s">
        <v>5802</v>
      </c>
      <c r="F5512" t="s">
        <v>18</v>
      </c>
    </row>
    <row r="5513" spans="1:6" x14ac:dyDescent="0.25">
      <c r="A5513" t="str">
        <f>"27040381"</f>
        <v>27040381</v>
      </c>
      <c r="B5513" t="s">
        <v>5804</v>
      </c>
      <c r="C5513" t="s">
        <v>7</v>
      </c>
      <c r="D5513" t="str">
        <f>"562220"</f>
        <v>562220</v>
      </c>
      <c r="E5513" t="s">
        <v>5802</v>
      </c>
      <c r="F5513" t="s">
        <v>11</v>
      </c>
    </row>
    <row r="5514" spans="1:6" x14ac:dyDescent="0.25">
      <c r="A5514" t="str">
        <f>"49864149"</f>
        <v>49864149</v>
      </c>
      <c r="B5514" t="s">
        <v>5805</v>
      </c>
      <c r="C5514" t="s">
        <v>7</v>
      </c>
      <c r="D5514" t="str">
        <f>"562220"</f>
        <v>562220</v>
      </c>
      <c r="E5514" t="s">
        <v>5802</v>
      </c>
      <c r="F5514" t="s">
        <v>9</v>
      </c>
    </row>
    <row r="5515" spans="1:6" x14ac:dyDescent="0.25">
      <c r="A5515" t="str">
        <f>"22894446"</f>
        <v>22894446</v>
      </c>
      <c r="B5515" t="s">
        <v>5806</v>
      </c>
      <c r="C5515" t="s">
        <v>7</v>
      </c>
      <c r="D5515" t="str">
        <f>"562238"</f>
        <v>562238</v>
      </c>
      <c r="E5515" t="s">
        <v>5807</v>
      </c>
      <c r="F5515" t="s">
        <v>29</v>
      </c>
    </row>
    <row r="5516" spans="1:6" x14ac:dyDescent="0.25">
      <c r="A5516" t="str">
        <f>"71165509"</f>
        <v>71165509</v>
      </c>
      <c r="B5516" t="s">
        <v>5808</v>
      </c>
      <c r="C5516" t="s">
        <v>37</v>
      </c>
      <c r="D5516" t="str">
        <f>"562238"</f>
        <v>562238</v>
      </c>
      <c r="E5516" t="s">
        <v>5807</v>
      </c>
      <c r="F5516" t="s">
        <v>38</v>
      </c>
    </row>
    <row r="5517" spans="1:6" x14ac:dyDescent="0.25">
      <c r="A5517" t="str">
        <f>"62237284"</f>
        <v>62237284</v>
      </c>
      <c r="B5517" t="s">
        <v>5809</v>
      </c>
      <c r="C5517" t="s">
        <v>7</v>
      </c>
      <c r="D5517" t="str">
        <f>"562238"</f>
        <v>562238</v>
      </c>
      <c r="E5517" t="s">
        <v>5807</v>
      </c>
      <c r="F5517" t="s">
        <v>62</v>
      </c>
    </row>
    <row r="5518" spans="1:6" x14ac:dyDescent="0.25">
      <c r="A5518" t="str">
        <f>"22840516"</f>
        <v>22840516</v>
      </c>
      <c r="B5518" t="s">
        <v>5810</v>
      </c>
      <c r="C5518" t="s">
        <v>7</v>
      </c>
      <c r="D5518" t="str">
        <f>"562238"</f>
        <v>562238</v>
      </c>
      <c r="E5518" t="s">
        <v>5807</v>
      </c>
      <c r="F5518" t="s">
        <v>35</v>
      </c>
    </row>
    <row r="5519" spans="1:6" x14ac:dyDescent="0.25">
      <c r="A5519" t="str">
        <f>"19230338"</f>
        <v>19230338</v>
      </c>
      <c r="B5519" t="s">
        <v>5811</v>
      </c>
      <c r="C5519" t="s">
        <v>7</v>
      </c>
      <c r="D5519" t="str">
        <f>"562238"</f>
        <v>562238</v>
      </c>
      <c r="E5519" t="s">
        <v>5807</v>
      </c>
      <c r="F5519" t="s">
        <v>11</v>
      </c>
    </row>
    <row r="5520" spans="1:6" x14ac:dyDescent="0.25">
      <c r="A5520" t="str">
        <f>"15043746"</f>
        <v>15043746</v>
      </c>
      <c r="B5520" t="s">
        <v>5812</v>
      </c>
      <c r="C5520" t="s">
        <v>15</v>
      </c>
      <c r="D5520" t="str">
        <f t="shared" ref="D5520:D5529" si="203">"577685"</f>
        <v>577685</v>
      </c>
      <c r="E5520" t="s">
        <v>5813</v>
      </c>
      <c r="F5520" t="s">
        <v>29</v>
      </c>
    </row>
    <row r="5521" spans="1:6" x14ac:dyDescent="0.25">
      <c r="A5521" t="str">
        <f>"01348728"</f>
        <v>01348728</v>
      </c>
      <c r="B5521" t="s">
        <v>5814</v>
      </c>
      <c r="C5521" t="s">
        <v>7</v>
      </c>
      <c r="D5521" t="str">
        <f t="shared" si="203"/>
        <v>577685</v>
      </c>
      <c r="E5521" t="s">
        <v>5813</v>
      </c>
      <c r="F5521" t="s">
        <v>137</v>
      </c>
    </row>
    <row r="5522" spans="1:6" x14ac:dyDescent="0.25">
      <c r="A5522" t="str">
        <f>"45599629"</f>
        <v>45599629</v>
      </c>
      <c r="B5522" t="s">
        <v>5815</v>
      </c>
      <c r="C5522" t="s">
        <v>37</v>
      </c>
      <c r="D5522" t="str">
        <f t="shared" si="203"/>
        <v>577685</v>
      </c>
      <c r="E5522" t="s">
        <v>5813</v>
      </c>
      <c r="F5522" t="s">
        <v>38</v>
      </c>
    </row>
    <row r="5523" spans="1:6" x14ac:dyDescent="0.25">
      <c r="A5523" t="str">
        <f>"45598657"</f>
        <v>45598657</v>
      </c>
      <c r="B5523" t="s">
        <v>5816</v>
      </c>
      <c r="C5523" t="s">
        <v>7</v>
      </c>
      <c r="D5523" t="str">
        <f t="shared" si="203"/>
        <v>577685</v>
      </c>
      <c r="E5523" t="s">
        <v>5813</v>
      </c>
      <c r="F5523" t="s">
        <v>38</v>
      </c>
    </row>
    <row r="5524" spans="1:6" x14ac:dyDescent="0.25">
      <c r="A5524" t="str">
        <f>"26646757"</f>
        <v>26646757</v>
      </c>
      <c r="B5524" t="s">
        <v>5817</v>
      </c>
      <c r="C5524" t="s">
        <v>7</v>
      </c>
      <c r="D5524" t="str">
        <f t="shared" si="203"/>
        <v>577685</v>
      </c>
      <c r="E5524" t="s">
        <v>5813</v>
      </c>
      <c r="F5524" t="s">
        <v>11</v>
      </c>
    </row>
    <row r="5525" spans="1:6" x14ac:dyDescent="0.25">
      <c r="A5525" t="str">
        <f>"62013530"</f>
        <v>62013530</v>
      </c>
      <c r="B5525" t="s">
        <v>5818</v>
      </c>
      <c r="C5525" t="s">
        <v>15</v>
      </c>
      <c r="D5525" t="str">
        <f t="shared" si="203"/>
        <v>577685</v>
      </c>
      <c r="E5525" t="s">
        <v>5813</v>
      </c>
      <c r="F5525" t="s">
        <v>16</v>
      </c>
    </row>
    <row r="5526" spans="1:6" x14ac:dyDescent="0.25">
      <c r="A5526" t="str">
        <f>"06409130"</f>
        <v>06409130</v>
      </c>
      <c r="B5526" t="s">
        <v>5819</v>
      </c>
      <c r="C5526" t="s">
        <v>7</v>
      </c>
      <c r="D5526" t="str">
        <f t="shared" si="203"/>
        <v>577685</v>
      </c>
      <c r="E5526" t="s">
        <v>5813</v>
      </c>
      <c r="F5526" t="s">
        <v>11</v>
      </c>
    </row>
    <row r="5527" spans="1:6" x14ac:dyDescent="0.25">
      <c r="A5527" t="str">
        <f>"45598738"</f>
        <v>45598738</v>
      </c>
      <c r="B5527" t="s">
        <v>5820</v>
      </c>
      <c r="C5527" t="s">
        <v>7</v>
      </c>
      <c r="D5527" t="str">
        <f t="shared" si="203"/>
        <v>577685</v>
      </c>
      <c r="E5527" t="s">
        <v>5813</v>
      </c>
      <c r="F5527" t="s">
        <v>65</v>
      </c>
    </row>
    <row r="5528" spans="1:6" x14ac:dyDescent="0.25">
      <c r="A5528" t="str">
        <f>"69153400"</f>
        <v>69153400</v>
      </c>
      <c r="B5528" t="s">
        <v>5821</v>
      </c>
      <c r="C5528" t="s">
        <v>15</v>
      </c>
      <c r="D5528" t="str">
        <f t="shared" si="203"/>
        <v>577685</v>
      </c>
      <c r="E5528" t="s">
        <v>5813</v>
      </c>
      <c r="F5528" t="s">
        <v>11</v>
      </c>
    </row>
    <row r="5529" spans="1:6" x14ac:dyDescent="0.25">
      <c r="A5529" t="str">
        <f>"22813993"</f>
        <v>22813993</v>
      </c>
      <c r="B5529" t="s">
        <v>5822</v>
      </c>
      <c r="C5529" t="s">
        <v>7</v>
      </c>
      <c r="D5529" t="str">
        <f t="shared" si="203"/>
        <v>577685</v>
      </c>
      <c r="E5529" t="s">
        <v>5813</v>
      </c>
      <c r="F5529" t="s">
        <v>11</v>
      </c>
    </row>
    <row r="5530" spans="1:6" x14ac:dyDescent="0.25">
      <c r="A5530" t="str">
        <f>"13585045"</f>
        <v>13585045</v>
      </c>
      <c r="B5530" t="s">
        <v>5823</v>
      </c>
      <c r="C5530" t="s">
        <v>7</v>
      </c>
      <c r="D5530" t="str">
        <f t="shared" ref="D5530:D5556" si="204">"577693"</f>
        <v>577693</v>
      </c>
      <c r="E5530" t="s">
        <v>5824</v>
      </c>
      <c r="F5530" t="s">
        <v>328</v>
      </c>
    </row>
    <row r="5531" spans="1:6" x14ac:dyDescent="0.25">
      <c r="A5531" t="str">
        <f>"45599424"</f>
        <v>45599424</v>
      </c>
      <c r="B5531" t="s">
        <v>5825</v>
      </c>
      <c r="C5531" t="s">
        <v>37</v>
      </c>
      <c r="D5531" t="str">
        <f t="shared" si="204"/>
        <v>577693</v>
      </c>
      <c r="E5531" t="s">
        <v>5824</v>
      </c>
      <c r="F5531" t="s">
        <v>38</v>
      </c>
    </row>
    <row r="5532" spans="1:6" x14ac:dyDescent="0.25">
      <c r="A5532" t="str">
        <f>"45599271"</f>
        <v>45599271</v>
      </c>
      <c r="B5532" t="s">
        <v>5826</v>
      </c>
      <c r="C5532" t="s">
        <v>37</v>
      </c>
      <c r="D5532" t="str">
        <f t="shared" si="204"/>
        <v>577693</v>
      </c>
      <c r="E5532" t="s">
        <v>5824</v>
      </c>
      <c r="F5532" t="s">
        <v>38</v>
      </c>
    </row>
    <row r="5533" spans="1:6" x14ac:dyDescent="0.25">
      <c r="A5533" t="str">
        <f>"22887709"</f>
        <v>22887709</v>
      </c>
      <c r="B5533" t="s">
        <v>5827</v>
      </c>
      <c r="C5533" t="s">
        <v>7</v>
      </c>
      <c r="D5533" t="str">
        <f t="shared" si="204"/>
        <v>577693</v>
      </c>
      <c r="E5533" t="s">
        <v>5824</v>
      </c>
      <c r="F5533" t="s">
        <v>18</v>
      </c>
    </row>
    <row r="5534" spans="1:6" x14ac:dyDescent="0.25">
      <c r="A5534" t="str">
        <f>"22767363"</f>
        <v>22767363</v>
      </c>
      <c r="B5534" t="s">
        <v>5828</v>
      </c>
      <c r="C5534" t="s">
        <v>7</v>
      </c>
      <c r="D5534" t="str">
        <f t="shared" si="204"/>
        <v>577693</v>
      </c>
      <c r="E5534" t="s">
        <v>5824</v>
      </c>
      <c r="F5534" t="s">
        <v>11</v>
      </c>
    </row>
    <row r="5535" spans="1:6" x14ac:dyDescent="0.25">
      <c r="A5535" t="str">
        <f>"05088755"</f>
        <v>05088755</v>
      </c>
      <c r="B5535" t="s">
        <v>5829</v>
      </c>
      <c r="C5535" t="s">
        <v>7</v>
      </c>
      <c r="D5535" t="str">
        <f t="shared" si="204"/>
        <v>577693</v>
      </c>
      <c r="E5535" t="s">
        <v>5824</v>
      </c>
      <c r="F5535" t="s">
        <v>11</v>
      </c>
    </row>
    <row r="5536" spans="1:6" x14ac:dyDescent="0.25">
      <c r="A5536" t="str">
        <f>"72023350"</f>
        <v>72023350</v>
      </c>
      <c r="B5536" t="s">
        <v>5830</v>
      </c>
      <c r="C5536" t="s">
        <v>15</v>
      </c>
      <c r="D5536" t="str">
        <f t="shared" si="204"/>
        <v>577693</v>
      </c>
      <c r="E5536" t="s">
        <v>5824</v>
      </c>
      <c r="F5536" t="s">
        <v>29</v>
      </c>
    </row>
    <row r="5537" spans="1:6" x14ac:dyDescent="0.25">
      <c r="A5537" t="str">
        <f>"45599459"</f>
        <v>45599459</v>
      </c>
      <c r="B5537" t="s">
        <v>5831</v>
      </c>
      <c r="C5537" t="s">
        <v>7</v>
      </c>
      <c r="D5537" t="str">
        <f t="shared" si="204"/>
        <v>577693</v>
      </c>
      <c r="E5537" t="s">
        <v>5824</v>
      </c>
      <c r="F5537" t="s">
        <v>38</v>
      </c>
    </row>
    <row r="5538" spans="1:6" x14ac:dyDescent="0.25">
      <c r="A5538" t="str">
        <f>"45599149"</f>
        <v>45599149</v>
      </c>
      <c r="B5538" t="s">
        <v>5832</v>
      </c>
      <c r="C5538" t="s">
        <v>7</v>
      </c>
      <c r="D5538" t="str">
        <f t="shared" si="204"/>
        <v>577693</v>
      </c>
      <c r="E5538" t="s">
        <v>5824</v>
      </c>
      <c r="F5538" t="s">
        <v>38</v>
      </c>
    </row>
    <row r="5539" spans="1:6" x14ac:dyDescent="0.25">
      <c r="A5539" t="str">
        <f>"62014889"</f>
        <v>62014889</v>
      </c>
      <c r="B5539" t="s">
        <v>5833</v>
      </c>
      <c r="C5539" t="s">
        <v>43</v>
      </c>
      <c r="D5539" t="str">
        <f t="shared" si="204"/>
        <v>577693</v>
      </c>
      <c r="E5539" t="s">
        <v>5824</v>
      </c>
      <c r="F5539" t="s">
        <v>44</v>
      </c>
    </row>
    <row r="5540" spans="1:6" x14ac:dyDescent="0.25">
      <c r="A5540" t="str">
        <f>"26588579"</f>
        <v>26588579</v>
      </c>
      <c r="B5540" t="s">
        <v>5834</v>
      </c>
      <c r="C5540" t="s">
        <v>7</v>
      </c>
      <c r="D5540" t="str">
        <f t="shared" si="204"/>
        <v>577693</v>
      </c>
      <c r="E5540" t="s">
        <v>5824</v>
      </c>
      <c r="F5540" t="s">
        <v>379</v>
      </c>
    </row>
    <row r="5541" spans="1:6" x14ac:dyDescent="0.25">
      <c r="A5541" t="str">
        <f>"01480839"</f>
        <v>01480839</v>
      </c>
      <c r="B5541" t="s">
        <v>5835</v>
      </c>
      <c r="C5541" t="s">
        <v>7</v>
      </c>
      <c r="D5541" t="str">
        <f t="shared" si="204"/>
        <v>577693</v>
      </c>
      <c r="E5541" t="s">
        <v>5824</v>
      </c>
      <c r="F5541" t="s">
        <v>11</v>
      </c>
    </row>
    <row r="5542" spans="1:6" x14ac:dyDescent="0.25">
      <c r="A5542" t="str">
        <f>"49295926"</f>
        <v>49295926</v>
      </c>
      <c r="B5542" t="s">
        <v>5836</v>
      </c>
      <c r="C5542" t="s">
        <v>43</v>
      </c>
      <c r="D5542" t="str">
        <f t="shared" si="204"/>
        <v>577693</v>
      </c>
      <c r="E5542" t="s">
        <v>5824</v>
      </c>
      <c r="F5542" t="s">
        <v>44</v>
      </c>
    </row>
    <row r="5543" spans="1:6" x14ac:dyDescent="0.25">
      <c r="A5543" t="str">
        <f>"45599262"</f>
        <v>45599262</v>
      </c>
      <c r="B5543" t="s">
        <v>5837</v>
      </c>
      <c r="C5543" t="s">
        <v>7</v>
      </c>
      <c r="D5543" t="str">
        <f t="shared" si="204"/>
        <v>577693</v>
      </c>
      <c r="E5543" t="s">
        <v>5824</v>
      </c>
      <c r="F5543" t="s">
        <v>11</v>
      </c>
    </row>
    <row r="5544" spans="1:6" x14ac:dyDescent="0.25">
      <c r="A5544" t="str">
        <f>"45599254"</f>
        <v>45599254</v>
      </c>
      <c r="B5544" t="s">
        <v>5838</v>
      </c>
      <c r="C5544" t="s">
        <v>7</v>
      </c>
      <c r="D5544" t="str">
        <f t="shared" si="204"/>
        <v>577693</v>
      </c>
      <c r="E5544" t="s">
        <v>5824</v>
      </c>
      <c r="F5544" t="s">
        <v>11</v>
      </c>
    </row>
    <row r="5545" spans="1:6" x14ac:dyDescent="0.25">
      <c r="A5545" t="str">
        <f>"62013548"</f>
        <v>62013548</v>
      </c>
      <c r="B5545" t="s">
        <v>5839</v>
      </c>
      <c r="C5545" t="s">
        <v>15</v>
      </c>
      <c r="D5545" t="str">
        <f t="shared" si="204"/>
        <v>577693</v>
      </c>
      <c r="E5545" t="s">
        <v>5824</v>
      </c>
      <c r="F5545" t="s">
        <v>16</v>
      </c>
    </row>
    <row r="5546" spans="1:6" x14ac:dyDescent="0.25">
      <c r="A5546" t="str">
        <f>"62012762"</f>
        <v>62012762</v>
      </c>
      <c r="B5546" t="s">
        <v>5840</v>
      </c>
      <c r="C5546" t="s">
        <v>15</v>
      </c>
      <c r="D5546" t="str">
        <f t="shared" si="204"/>
        <v>577693</v>
      </c>
      <c r="E5546" t="s">
        <v>5824</v>
      </c>
      <c r="F5546" t="s">
        <v>16</v>
      </c>
    </row>
    <row r="5547" spans="1:6" x14ac:dyDescent="0.25">
      <c r="A5547" t="str">
        <f>"62013912"</f>
        <v>62013912</v>
      </c>
      <c r="B5547" t="s">
        <v>5841</v>
      </c>
      <c r="C5547" t="s">
        <v>15</v>
      </c>
      <c r="D5547" t="str">
        <f t="shared" si="204"/>
        <v>577693</v>
      </c>
      <c r="E5547" t="s">
        <v>5824</v>
      </c>
      <c r="F5547" t="s">
        <v>16</v>
      </c>
    </row>
    <row r="5548" spans="1:6" x14ac:dyDescent="0.25">
      <c r="A5548" t="str">
        <f>"62012941"</f>
        <v>62012941</v>
      </c>
      <c r="B5548" t="s">
        <v>5842</v>
      </c>
      <c r="C5548" t="s">
        <v>15</v>
      </c>
      <c r="D5548" t="str">
        <f t="shared" si="204"/>
        <v>577693</v>
      </c>
      <c r="E5548" t="s">
        <v>5824</v>
      </c>
      <c r="F5548" t="s">
        <v>16</v>
      </c>
    </row>
    <row r="5549" spans="1:6" x14ac:dyDescent="0.25">
      <c r="A5549" t="str">
        <f>"27040933"</f>
        <v>27040933</v>
      </c>
      <c r="B5549" t="s">
        <v>5843</v>
      </c>
      <c r="C5549" t="s">
        <v>7</v>
      </c>
      <c r="D5549" t="str">
        <f t="shared" si="204"/>
        <v>577693</v>
      </c>
      <c r="E5549" t="s">
        <v>5824</v>
      </c>
      <c r="F5549" t="s">
        <v>11</v>
      </c>
    </row>
    <row r="5550" spans="1:6" x14ac:dyDescent="0.25">
      <c r="A5550" t="str">
        <f>"45599017"</f>
        <v>45599017</v>
      </c>
      <c r="B5550" t="s">
        <v>5844</v>
      </c>
      <c r="C5550" t="s">
        <v>7</v>
      </c>
      <c r="D5550" t="str">
        <f t="shared" si="204"/>
        <v>577693</v>
      </c>
      <c r="E5550" t="s">
        <v>5824</v>
      </c>
      <c r="F5550" t="s">
        <v>65</v>
      </c>
    </row>
    <row r="5551" spans="1:6" x14ac:dyDescent="0.25">
      <c r="A5551" t="str">
        <f>"45597812"</f>
        <v>45597812</v>
      </c>
      <c r="B5551" t="s">
        <v>5845</v>
      </c>
      <c r="C5551" t="s">
        <v>15</v>
      </c>
      <c r="D5551" t="str">
        <f t="shared" si="204"/>
        <v>577693</v>
      </c>
      <c r="E5551" t="s">
        <v>5824</v>
      </c>
      <c r="F5551" t="s">
        <v>9</v>
      </c>
    </row>
    <row r="5552" spans="1:6" x14ac:dyDescent="0.25">
      <c r="A5552" t="str">
        <f>"04535669"</f>
        <v>04535669</v>
      </c>
      <c r="B5552" t="s">
        <v>5846</v>
      </c>
      <c r="C5552" t="s">
        <v>7</v>
      </c>
      <c r="D5552" t="str">
        <f t="shared" si="204"/>
        <v>577693</v>
      </c>
      <c r="E5552" t="s">
        <v>5824</v>
      </c>
      <c r="F5552" t="s">
        <v>9</v>
      </c>
    </row>
    <row r="5553" spans="1:6" x14ac:dyDescent="0.25">
      <c r="A5553" t="str">
        <f>"45597961"</f>
        <v>45597961</v>
      </c>
      <c r="B5553" t="s">
        <v>5847</v>
      </c>
      <c r="C5553" t="s">
        <v>7</v>
      </c>
      <c r="D5553" t="str">
        <f t="shared" si="204"/>
        <v>577693</v>
      </c>
      <c r="E5553" t="s">
        <v>5824</v>
      </c>
      <c r="F5553" t="s">
        <v>62</v>
      </c>
    </row>
    <row r="5554" spans="1:6" x14ac:dyDescent="0.25">
      <c r="A5554" t="str">
        <f>"02564939"</f>
        <v>02564939</v>
      </c>
      <c r="B5554" t="s">
        <v>5848</v>
      </c>
      <c r="C5554" t="s">
        <v>78</v>
      </c>
      <c r="D5554" t="str">
        <f t="shared" si="204"/>
        <v>577693</v>
      </c>
      <c r="E5554" t="s">
        <v>5824</v>
      </c>
      <c r="F5554" t="s">
        <v>11</v>
      </c>
    </row>
    <row r="5555" spans="1:6" x14ac:dyDescent="0.25">
      <c r="A5555" t="str">
        <f>"22866108"</f>
        <v>22866108</v>
      </c>
      <c r="B5555" t="s">
        <v>5849</v>
      </c>
      <c r="C5555" t="s">
        <v>7</v>
      </c>
      <c r="D5555" t="str">
        <f t="shared" si="204"/>
        <v>577693</v>
      </c>
      <c r="E5555" t="s">
        <v>5824</v>
      </c>
      <c r="F5555" t="s">
        <v>11</v>
      </c>
    </row>
    <row r="5556" spans="1:6" x14ac:dyDescent="0.25">
      <c r="A5556" t="str">
        <f>"22753001"</f>
        <v>22753001</v>
      </c>
      <c r="B5556" t="s">
        <v>5850</v>
      </c>
      <c r="C5556" t="s">
        <v>7</v>
      </c>
      <c r="D5556" t="str">
        <f t="shared" si="204"/>
        <v>577693</v>
      </c>
      <c r="E5556" t="s">
        <v>5824</v>
      </c>
      <c r="F5556" t="s">
        <v>62</v>
      </c>
    </row>
    <row r="5557" spans="1:6" x14ac:dyDescent="0.25">
      <c r="A5557" t="str">
        <f>"45599050"</f>
        <v>45599050</v>
      </c>
      <c r="B5557" t="s">
        <v>5851</v>
      </c>
      <c r="C5557" t="s">
        <v>37</v>
      </c>
      <c r="D5557" t="str">
        <f t="shared" ref="D5557:D5563" si="205">"577651"</f>
        <v>577651</v>
      </c>
      <c r="E5557" t="s">
        <v>5852</v>
      </c>
      <c r="F5557" t="s">
        <v>38</v>
      </c>
    </row>
    <row r="5558" spans="1:6" x14ac:dyDescent="0.25">
      <c r="A5558" t="str">
        <f>"45597863"</f>
        <v>45597863</v>
      </c>
      <c r="B5558" t="s">
        <v>5853</v>
      </c>
      <c r="C5558" t="s">
        <v>7</v>
      </c>
      <c r="D5558" t="str">
        <f t="shared" si="205"/>
        <v>577651</v>
      </c>
      <c r="E5558" t="s">
        <v>5852</v>
      </c>
      <c r="F5558" t="s">
        <v>38</v>
      </c>
    </row>
    <row r="5559" spans="1:6" x14ac:dyDescent="0.25">
      <c r="A5559" t="str">
        <f>"62013106"</f>
        <v>62013106</v>
      </c>
      <c r="B5559" t="s">
        <v>5854</v>
      </c>
      <c r="C5559" t="s">
        <v>15</v>
      </c>
      <c r="D5559" t="str">
        <f t="shared" si="205"/>
        <v>577651</v>
      </c>
      <c r="E5559" t="s">
        <v>5852</v>
      </c>
      <c r="F5559" t="s">
        <v>16</v>
      </c>
    </row>
    <row r="5560" spans="1:6" x14ac:dyDescent="0.25">
      <c r="A5560" t="str">
        <f>"62013556"</f>
        <v>62013556</v>
      </c>
      <c r="B5560" t="s">
        <v>5855</v>
      </c>
      <c r="C5560" t="s">
        <v>15</v>
      </c>
      <c r="D5560" t="str">
        <f t="shared" si="205"/>
        <v>577651</v>
      </c>
      <c r="E5560" t="s">
        <v>5852</v>
      </c>
      <c r="F5560" t="s">
        <v>16</v>
      </c>
    </row>
    <row r="5561" spans="1:6" x14ac:dyDescent="0.25">
      <c r="A5561" t="str">
        <f>"62013734"</f>
        <v>62013734</v>
      </c>
      <c r="B5561" t="s">
        <v>5856</v>
      </c>
      <c r="C5561" t="s">
        <v>15</v>
      </c>
      <c r="D5561" t="str">
        <f t="shared" si="205"/>
        <v>577651</v>
      </c>
      <c r="E5561" t="s">
        <v>5852</v>
      </c>
      <c r="F5561" t="s">
        <v>16</v>
      </c>
    </row>
    <row r="5562" spans="1:6" x14ac:dyDescent="0.25">
      <c r="A5562" t="str">
        <f>"27027635"</f>
        <v>27027635</v>
      </c>
      <c r="B5562" t="s">
        <v>5857</v>
      </c>
      <c r="C5562" t="s">
        <v>7</v>
      </c>
      <c r="D5562" t="str">
        <f t="shared" si="205"/>
        <v>577651</v>
      </c>
      <c r="E5562" t="s">
        <v>5852</v>
      </c>
      <c r="F5562" t="s">
        <v>11</v>
      </c>
    </row>
    <row r="5563" spans="1:6" x14ac:dyDescent="0.25">
      <c r="A5563" t="str">
        <f>"49296124"</f>
        <v>49296124</v>
      </c>
      <c r="B5563" t="s">
        <v>5858</v>
      </c>
      <c r="C5563" t="s">
        <v>15</v>
      </c>
      <c r="D5563" t="str">
        <f t="shared" si="205"/>
        <v>577651</v>
      </c>
      <c r="E5563" t="s">
        <v>5852</v>
      </c>
      <c r="F5563" t="s">
        <v>9</v>
      </c>
    </row>
    <row r="5564" spans="1:6" x14ac:dyDescent="0.25">
      <c r="A5564" t="str">
        <f>"22824979"</f>
        <v>22824979</v>
      </c>
      <c r="B5564" t="s">
        <v>5859</v>
      </c>
      <c r="C5564" t="s">
        <v>7</v>
      </c>
      <c r="D5564" t="str">
        <f t="shared" ref="D5564:D5571" si="206">"577669"</f>
        <v>577669</v>
      </c>
      <c r="E5564" t="s">
        <v>5860</v>
      </c>
      <c r="F5564" t="s">
        <v>11</v>
      </c>
    </row>
    <row r="5565" spans="1:6" x14ac:dyDescent="0.25">
      <c r="A5565" t="str">
        <f>"45599441"</f>
        <v>45599441</v>
      </c>
      <c r="B5565" t="s">
        <v>5861</v>
      </c>
      <c r="C5565" t="s">
        <v>7</v>
      </c>
      <c r="D5565" t="str">
        <f t="shared" si="206"/>
        <v>577669</v>
      </c>
      <c r="E5565" t="s">
        <v>5860</v>
      </c>
      <c r="F5565" t="s">
        <v>38</v>
      </c>
    </row>
    <row r="5566" spans="1:6" x14ac:dyDescent="0.25">
      <c r="A5566" t="str">
        <f>"10746111"</f>
        <v>10746111</v>
      </c>
      <c r="B5566" t="s">
        <v>5862</v>
      </c>
      <c r="C5566" t="s">
        <v>7</v>
      </c>
      <c r="D5566" t="str">
        <f t="shared" si="206"/>
        <v>577669</v>
      </c>
      <c r="E5566" t="s">
        <v>5860</v>
      </c>
      <c r="F5566" t="s">
        <v>18</v>
      </c>
    </row>
    <row r="5567" spans="1:6" x14ac:dyDescent="0.25">
      <c r="A5567" t="str">
        <f>"62013793"</f>
        <v>62013793</v>
      </c>
      <c r="B5567" t="s">
        <v>5863</v>
      </c>
      <c r="C5567" t="s">
        <v>15</v>
      </c>
      <c r="D5567" t="str">
        <f t="shared" si="206"/>
        <v>577669</v>
      </c>
      <c r="E5567" t="s">
        <v>5860</v>
      </c>
      <c r="F5567" t="s">
        <v>16</v>
      </c>
    </row>
    <row r="5568" spans="1:6" x14ac:dyDescent="0.25">
      <c r="A5568" t="str">
        <f>"22710507"</f>
        <v>22710507</v>
      </c>
      <c r="B5568" t="s">
        <v>5864</v>
      </c>
      <c r="C5568" t="s">
        <v>7</v>
      </c>
      <c r="D5568" t="str">
        <f t="shared" si="206"/>
        <v>577669</v>
      </c>
      <c r="E5568" t="s">
        <v>5860</v>
      </c>
      <c r="F5568" t="s">
        <v>35</v>
      </c>
    </row>
    <row r="5569" spans="1:6" x14ac:dyDescent="0.25">
      <c r="A5569" t="str">
        <f>"21745935"</f>
        <v>21745935</v>
      </c>
      <c r="B5569" t="s">
        <v>5865</v>
      </c>
      <c r="C5569" t="s">
        <v>7</v>
      </c>
      <c r="D5569" t="str">
        <f t="shared" si="206"/>
        <v>577669</v>
      </c>
      <c r="E5569" t="s">
        <v>5860</v>
      </c>
      <c r="F5569" t="s">
        <v>18</v>
      </c>
    </row>
    <row r="5570" spans="1:6" x14ac:dyDescent="0.25">
      <c r="A5570" t="str">
        <f>"45597642"</f>
        <v>45597642</v>
      </c>
      <c r="B5570" t="s">
        <v>5866</v>
      </c>
      <c r="C5570" t="s">
        <v>7</v>
      </c>
      <c r="D5570" t="str">
        <f t="shared" si="206"/>
        <v>577669</v>
      </c>
      <c r="E5570" t="s">
        <v>5860</v>
      </c>
      <c r="F5570" t="s">
        <v>35</v>
      </c>
    </row>
    <row r="5571" spans="1:6" x14ac:dyDescent="0.25">
      <c r="A5571" t="str">
        <f>"06904416"</f>
        <v>06904416</v>
      </c>
      <c r="B5571" t="s">
        <v>5867</v>
      </c>
      <c r="C5571" t="s">
        <v>15</v>
      </c>
      <c r="D5571" t="str">
        <f t="shared" si="206"/>
        <v>577669</v>
      </c>
      <c r="E5571" t="s">
        <v>5860</v>
      </c>
      <c r="F5571" t="s">
        <v>9</v>
      </c>
    </row>
    <row r="5572" spans="1:6" x14ac:dyDescent="0.25">
      <c r="A5572" t="str">
        <f>"46745351"</f>
        <v>46745351</v>
      </c>
      <c r="B5572" t="s">
        <v>5868</v>
      </c>
      <c r="C5572" t="s">
        <v>37</v>
      </c>
      <c r="D5572" t="str">
        <f t="shared" ref="D5572:D5583" si="207">"564532"</f>
        <v>564532</v>
      </c>
      <c r="E5572" t="s">
        <v>5869</v>
      </c>
      <c r="F5572" t="s">
        <v>38</v>
      </c>
    </row>
    <row r="5573" spans="1:6" x14ac:dyDescent="0.25">
      <c r="A5573" t="str">
        <f>"46745360"</f>
        <v>46745360</v>
      </c>
      <c r="B5573" t="s">
        <v>5870</v>
      </c>
      <c r="C5573" t="s">
        <v>37</v>
      </c>
      <c r="D5573" t="str">
        <f t="shared" si="207"/>
        <v>564532</v>
      </c>
      <c r="E5573" t="s">
        <v>5869</v>
      </c>
      <c r="F5573" t="s">
        <v>38</v>
      </c>
    </row>
    <row r="5574" spans="1:6" x14ac:dyDescent="0.25">
      <c r="A5574" t="str">
        <f>"04328094"</f>
        <v>04328094</v>
      </c>
      <c r="B5574" t="s">
        <v>5871</v>
      </c>
      <c r="C5574" t="s">
        <v>7</v>
      </c>
      <c r="D5574" t="str">
        <f t="shared" si="207"/>
        <v>564532</v>
      </c>
      <c r="E5574" t="s">
        <v>5869</v>
      </c>
      <c r="F5574" t="s">
        <v>18</v>
      </c>
    </row>
    <row r="5575" spans="1:6" x14ac:dyDescent="0.25">
      <c r="A5575" t="str">
        <f>"26993911"</f>
        <v>26993911</v>
      </c>
      <c r="B5575" t="s">
        <v>5872</v>
      </c>
      <c r="C5575" t="s">
        <v>7</v>
      </c>
      <c r="D5575" t="str">
        <f t="shared" si="207"/>
        <v>564532</v>
      </c>
      <c r="E5575" t="s">
        <v>5869</v>
      </c>
      <c r="F5575" t="s">
        <v>11</v>
      </c>
    </row>
    <row r="5576" spans="1:6" x14ac:dyDescent="0.25">
      <c r="A5576" t="str">
        <f>"46747265"</f>
        <v>46747265</v>
      </c>
      <c r="B5576" t="s">
        <v>5873</v>
      </c>
      <c r="C5576" t="s">
        <v>7</v>
      </c>
      <c r="D5576" t="str">
        <f t="shared" si="207"/>
        <v>564532</v>
      </c>
      <c r="E5576" t="s">
        <v>5869</v>
      </c>
      <c r="F5576" t="s">
        <v>38</v>
      </c>
    </row>
    <row r="5577" spans="1:6" x14ac:dyDescent="0.25">
      <c r="A5577" t="str">
        <f>"72743697"</f>
        <v>72743697</v>
      </c>
      <c r="B5577" t="s">
        <v>5874</v>
      </c>
      <c r="C5577" t="s">
        <v>7</v>
      </c>
      <c r="D5577" t="str">
        <f t="shared" si="207"/>
        <v>564532</v>
      </c>
      <c r="E5577" t="s">
        <v>5869</v>
      </c>
      <c r="F5577" t="s">
        <v>38</v>
      </c>
    </row>
    <row r="5578" spans="1:6" x14ac:dyDescent="0.25">
      <c r="A5578" t="str">
        <f>"04310420"</f>
        <v>04310420</v>
      </c>
      <c r="B5578" t="s">
        <v>5875</v>
      </c>
      <c r="C5578" t="s">
        <v>7</v>
      </c>
      <c r="D5578" t="str">
        <f t="shared" si="207"/>
        <v>564532</v>
      </c>
      <c r="E5578" t="s">
        <v>5869</v>
      </c>
      <c r="F5578" t="s">
        <v>38</v>
      </c>
    </row>
    <row r="5579" spans="1:6" x14ac:dyDescent="0.25">
      <c r="A5579" t="str">
        <f>"46748512"</f>
        <v>46748512</v>
      </c>
      <c r="B5579" t="s">
        <v>5876</v>
      </c>
      <c r="C5579" t="s">
        <v>7</v>
      </c>
      <c r="D5579" t="str">
        <f t="shared" si="207"/>
        <v>564532</v>
      </c>
      <c r="E5579" t="s">
        <v>5869</v>
      </c>
      <c r="F5579" t="s">
        <v>11</v>
      </c>
    </row>
    <row r="5580" spans="1:6" x14ac:dyDescent="0.25">
      <c r="A5580" t="str">
        <f>"49111965"</f>
        <v>49111965</v>
      </c>
      <c r="B5580" t="s">
        <v>5877</v>
      </c>
      <c r="C5580" t="s">
        <v>15</v>
      </c>
      <c r="D5580" t="str">
        <f t="shared" si="207"/>
        <v>564532</v>
      </c>
      <c r="E5580" t="s">
        <v>5869</v>
      </c>
      <c r="F5580" t="s">
        <v>16</v>
      </c>
    </row>
    <row r="5581" spans="1:6" x14ac:dyDescent="0.25">
      <c r="A5581" t="str">
        <f>"49112091"</f>
        <v>49112091</v>
      </c>
      <c r="B5581" t="s">
        <v>5878</v>
      </c>
      <c r="C5581" t="s">
        <v>15</v>
      </c>
      <c r="D5581" t="str">
        <f t="shared" si="207"/>
        <v>564532</v>
      </c>
      <c r="E5581" t="s">
        <v>5869</v>
      </c>
      <c r="F5581" t="s">
        <v>16</v>
      </c>
    </row>
    <row r="5582" spans="1:6" x14ac:dyDescent="0.25">
      <c r="A5582" t="str">
        <f>"49112171"</f>
        <v>49112171</v>
      </c>
      <c r="B5582" t="s">
        <v>5879</v>
      </c>
      <c r="C5582" t="s">
        <v>15</v>
      </c>
      <c r="D5582" t="str">
        <f t="shared" si="207"/>
        <v>564532</v>
      </c>
      <c r="E5582" t="s">
        <v>5869</v>
      </c>
      <c r="F5582" t="s">
        <v>16</v>
      </c>
    </row>
    <row r="5583" spans="1:6" x14ac:dyDescent="0.25">
      <c r="A5583" t="str">
        <f>"08129258"</f>
        <v>08129258</v>
      </c>
      <c r="B5583" t="s">
        <v>5880</v>
      </c>
      <c r="C5583" t="s">
        <v>7</v>
      </c>
      <c r="D5583" t="str">
        <f t="shared" si="207"/>
        <v>564532</v>
      </c>
      <c r="E5583" t="s">
        <v>5869</v>
      </c>
      <c r="F5583" t="s">
        <v>11</v>
      </c>
    </row>
    <row r="5584" spans="1:6" x14ac:dyDescent="0.25">
      <c r="A5584" t="str">
        <f>"45598924"</f>
        <v>45598924</v>
      </c>
      <c r="B5584" t="s">
        <v>5881</v>
      </c>
      <c r="C5584" t="s">
        <v>37</v>
      </c>
      <c r="D5584" t="str">
        <f t="shared" ref="D5584:D5593" si="208">"577677"</f>
        <v>577677</v>
      </c>
      <c r="E5584" t="s">
        <v>5882</v>
      </c>
      <c r="F5584" t="s">
        <v>38</v>
      </c>
    </row>
    <row r="5585" spans="1:6" x14ac:dyDescent="0.25">
      <c r="A5585" t="str">
        <f>"26580535"</f>
        <v>26580535</v>
      </c>
      <c r="B5585" t="s">
        <v>5883</v>
      </c>
      <c r="C5585" t="s">
        <v>7</v>
      </c>
      <c r="D5585" t="str">
        <f t="shared" si="208"/>
        <v>577677</v>
      </c>
      <c r="E5585" t="s">
        <v>5882</v>
      </c>
      <c r="F5585" t="s">
        <v>9</v>
      </c>
    </row>
    <row r="5586" spans="1:6" x14ac:dyDescent="0.25">
      <c r="A5586" t="str">
        <f>"09449434"</f>
        <v>09449434</v>
      </c>
      <c r="B5586" t="s">
        <v>5884</v>
      </c>
      <c r="C5586" t="s">
        <v>7</v>
      </c>
      <c r="D5586" t="str">
        <f t="shared" si="208"/>
        <v>577677</v>
      </c>
      <c r="E5586" t="s">
        <v>5882</v>
      </c>
      <c r="F5586" t="s">
        <v>11</v>
      </c>
    </row>
    <row r="5587" spans="1:6" x14ac:dyDescent="0.25">
      <c r="A5587" t="str">
        <f>"45598452"</f>
        <v>45598452</v>
      </c>
      <c r="B5587" t="s">
        <v>5885</v>
      </c>
      <c r="C5587" t="s">
        <v>7</v>
      </c>
      <c r="D5587" t="str">
        <f t="shared" si="208"/>
        <v>577677</v>
      </c>
      <c r="E5587" t="s">
        <v>5882</v>
      </c>
      <c r="F5587" t="s">
        <v>38</v>
      </c>
    </row>
    <row r="5588" spans="1:6" x14ac:dyDescent="0.25">
      <c r="A5588" t="str">
        <f>"06086136"</f>
        <v>06086136</v>
      </c>
      <c r="B5588" t="s">
        <v>5886</v>
      </c>
      <c r="C5588" t="s">
        <v>7</v>
      </c>
      <c r="D5588" t="str">
        <f t="shared" si="208"/>
        <v>577677</v>
      </c>
      <c r="E5588" t="s">
        <v>5882</v>
      </c>
      <c r="F5588" t="s">
        <v>11</v>
      </c>
    </row>
    <row r="5589" spans="1:6" x14ac:dyDescent="0.25">
      <c r="A5589" t="str">
        <f>"62014048"</f>
        <v>62014048</v>
      </c>
      <c r="B5589" t="s">
        <v>5887</v>
      </c>
      <c r="C5589" t="s">
        <v>15</v>
      </c>
      <c r="D5589" t="str">
        <f t="shared" si="208"/>
        <v>577677</v>
      </c>
      <c r="E5589" t="s">
        <v>5882</v>
      </c>
      <c r="F5589" t="s">
        <v>16</v>
      </c>
    </row>
    <row r="5590" spans="1:6" x14ac:dyDescent="0.25">
      <c r="A5590" t="str">
        <f>"49295560"</f>
        <v>49295560</v>
      </c>
      <c r="B5590" t="s">
        <v>5888</v>
      </c>
      <c r="C5590" t="s">
        <v>7</v>
      </c>
      <c r="D5590" t="str">
        <f t="shared" si="208"/>
        <v>577677</v>
      </c>
      <c r="E5590" t="s">
        <v>5882</v>
      </c>
      <c r="F5590" t="s">
        <v>16</v>
      </c>
    </row>
    <row r="5591" spans="1:6" x14ac:dyDescent="0.25">
      <c r="A5591" t="str">
        <f>"17323681"</f>
        <v>17323681</v>
      </c>
      <c r="B5591" t="s">
        <v>5889</v>
      </c>
      <c r="C5591" t="s">
        <v>7</v>
      </c>
      <c r="D5591" t="str">
        <f t="shared" si="208"/>
        <v>577677</v>
      </c>
      <c r="E5591" t="s">
        <v>5882</v>
      </c>
      <c r="F5591" t="s">
        <v>13</v>
      </c>
    </row>
    <row r="5592" spans="1:6" x14ac:dyDescent="0.25">
      <c r="A5592" t="str">
        <f>"26588811"</f>
        <v>26588811</v>
      </c>
      <c r="B5592" t="s">
        <v>5890</v>
      </c>
      <c r="C5592" t="s">
        <v>7</v>
      </c>
      <c r="D5592" t="str">
        <f t="shared" si="208"/>
        <v>577677</v>
      </c>
      <c r="E5592" t="s">
        <v>5882</v>
      </c>
      <c r="F5592" t="s">
        <v>9</v>
      </c>
    </row>
    <row r="5593" spans="1:6" x14ac:dyDescent="0.25">
      <c r="A5593" t="str">
        <f>"75096811"</f>
        <v>75096811</v>
      </c>
      <c r="B5593" t="s">
        <v>5891</v>
      </c>
      <c r="C5593" t="s">
        <v>15</v>
      </c>
      <c r="D5593" t="str">
        <f t="shared" si="208"/>
        <v>577677</v>
      </c>
      <c r="E5593" t="s">
        <v>5882</v>
      </c>
      <c r="F5593" t="s">
        <v>9</v>
      </c>
    </row>
    <row r="5594" spans="1:6" x14ac:dyDescent="0.25">
      <c r="A5594" t="str">
        <f>"27000842"</f>
        <v>27000842</v>
      </c>
      <c r="B5594" t="s">
        <v>5892</v>
      </c>
      <c r="C5594" t="s">
        <v>7</v>
      </c>
      <c r="D5594" t="str">
        <f t="shared" ref="D5594:D5602" si="209">"562246"</f>
        <v>562246</v>
      </c>
      <c r="E5594" t="s">
        <v>5893</v>
      </c>
      <c r="F5594" t="s">
        <v>9</v>
      </c>
    </row>
    <row r="5595" spans="1:6" x14ac:dyDescent="0.25">
      <c r="A5595" t="str">
        <f>"22309632"</f>
        <v>22309632</v>
      </c>
      <c r="B5595" t="s">
        <v>5894</v>
      </c>
      <c r="C5595" t="s">
        <v>7</v>
      </c>
      <c r="D5595" t="str">
        <f t="shared" si="209"/>
        <v>562246</v>
      </c>
      <c r="E5595" t="s">
        <v>5893</v>
      </c>
      <c r="F5595" t="s">
        <v>62</v>
      </c>
    </row>
    <row r="5596" spans="1:6" x14ac:dyDescent="0.25">
      <c r="A5596" t="str">
        <f>"03542556"</f>
        <v>03542556</v>
      </c>
      <c r="B5596" t="s">
        <v>5895</v>
      </c>
      <c r="C5596" t="s">
        <v>37</v>
      </c>
      <c r="D5596" t="str">
        <f t="shared" si="209"/>
        <v>562246</v>
      </c>
      <c r="E5596" t="s">
        <v>5893</v>
      </c>
      <c r="F5596" t="s">
        <v>38</v>
      </c>
    </row>
    <row r="5597" spans="1:6" x14ac:dyDescent="0.25">
      <c r="A5597" t="str">
        <f>"26622840"</f>
        <v>26622840</v>
      </c>
      <c r="B5597" t="s">
        <v>5896</v>
      </c>
      <c r="C5597" t="s">
        <v>7</v>
      </c>
      <c r="D5597" t="str">
        <f t="shared" si="209"/>
        <v>562246</v>
      </c>
      <c r="E5597" t="s">
        <v>5893</v>
      </c>
      <c r="F5597" t="s">
        <v>38</v>
      </c>
    </row>
    <row r="5598" spans="1:6" x14ac:dyDescent="0.25">
      <c r="A5598" t="str">
        <f>"01936972"</f>
        <v>01936972</v>
      </c>
      <c r="B5598" t="s">
        <v>5897</v>
      </c>
      <c r="C5598" t="s">
        <v>7</v>
      </c>
      <c r="D5598" t="str">
        <f t="shared" si="209"/>
        <v>562246</v>
      </c>
      <c r="E5598" t="s">
        <v>5893</v>
      </c>
      <c r="F5598" t="s">
        <v>38</v>
      </c>
    </row>
    <row r="5599" spans="1:6" x14ac:dyDescent="0.25">
      <c r="A5599" t="str">
        <f>"63778548"</f>
        <v>63778548</v>
      </c>
      <c r="B5599" t="s">
        <v>5898</v>
      </c>
      <c r="C5599" t="s">
        <v>7</v>
      </c>
      <c r="D5599" t="str">
        <f t="shared" si="209"/>
        <v>562246</v>
      </c>
      <c r="E5599" t="s">
        <v>5893</v>
      </c>
      <c r="F5599" t="s">
        <v>11</v>
      </c>
    </row>
    <row r="5600" spans="1:6" x14ac:dyDescent="0.25">
      <c r="A5600" t="str">
        <f>"26625415"</f>
        <v>26625415</v>
      </c>
      <c r="B5600" t="s">
        <v>5899</v>
      </c>
      <c r="C5600" t="s">
        <v>7</v>
      </c>
      <c r="D5600" t="str">
        <f t="shared" si="209"/>
        <v>562246</v>
      </c>
      <c r="E5600" t="s">
        <v>5893</v>
      </c>
      <c r="F5600" t="s">
        <v>11</v>
      </c>
    </row>
    <row r="5601" spans="1:6" x14ac:dyDescent="0.25">
      <c r="A5601" t="str">
        <f>"63778009"</f>
        <v>63778009</v>
      </c>
      <c r="B5601" t="s">
        <v>5900</v>
      </c>
      <c r="C5601" t="s">
        <v>7</v>
      </c>
      <c r="D5601" t="str">
        <f t="shared" si="209"/>
        <v>562246</v>
      </c>
      <c r="E5601" t="s">
        <v>5893</v>
      </c>
      <c r="F5601" t="s">
        <v>35</v>
      </c>
    </row>
    <row r="5602" spans="1:6" x14ac:dyDescent="0.25">
      <c r="A5602" t="str">
        <f>"48283037"</f>
        <v>48283037</v>
      </c>
      <c r="B5602" t="s">
        <v>5901</v>
      </c>
      <c r="C5602" t="s">
        <v>7</v>
      </c>
      <c r="D5602" t="str">
        <f t="shared" si="209"/>
        <v>562246</v>
      </c>
      <c r="E5602" t="s">
        <v>5893</v>
      </c>
      <c r="F5602" t="s">
        <v>9</v>
      </c>
    </row>
    <row r="5603" spans="1:6" x14ac:dyDescent="0.25">
      <c r="A5603" t="str">
        <f>"01797140"</f>
        <v>01797140</v>
      </c>
      <c r="B5603" t="s">
        <v>5902</v>
      </c>
      <c r="C5603" t="s">
        <v>7</v>
      </c>
      <c r="D5603" t="str">
        <f t="shared" ref="D5603:D5613" si="210">"564541"</f>
        <v>564541</v>
      </c>
      <c r="E5603" t="s">
        <v>5903</v>
      </c>
      <c r="F5603" t="s">
        <v>38</v>
      </c>
    </row>
    <row r="5604" spans="1:6" x14ac:dyDescent="0.25">
      <c r="A5604" t="str">
        <f>"26611171"</f>
        <v>26611171</v>
      </c>
      <c r="B5604" t="s">
        <v>5904</v>
      </c>
      <c r="C5604" t="s">
        <v>7</v>
      </c>
      <c r="D5604" t="str">
        <f t="shared" si="210"/>
        <v>564541</v>
      </c>
      <c r="E5604" t="s">
        <v>5903</v>
      </c>
      <c r="F5604" t="s">
        <v>38</v>
      </c>
    </row>
    <row r="5605" spans="1:6" x14ac:dyDescent="0.25">
      <c r="A5605" t="str">
        <f>"26604914"</f>
        <v>26604914</v>
      </c>
      <c r="B5605" t="s">
        <v>5905</v>
      </c>
      <c r="C5605" t="s">
        <v>7</v>
      </c>
      <c r="D5605" t="str">
        <f t="shared" si="210"/>
        <v>564541</v>
      </c>
      <c r="E5605" t="s">
        <v>5903</v>
      </c>
      <c r="F5605" t="s">
        <v>38</v>
      </c>
    </row>
    <row r="5606" spans="1:6" x14ac:dyDescent="0.25">
      <c r="A5606" t="str">
        <f>"22694005"</f>
        <v>22694005</v>
      </c>
      <c r="B5606" t="s">
        <v>5906</v>
      </c>
      <c r="C5606" t="s">
        <v>7</v>
      </c>
      <c r="D5606" t="str">
        <f t="shared" si="210"/>
        <v>564541</v>
      </c>
      <c r="E5606" t="s">
        <v>5903</v>
      </c>
      <c r="F5606" t="s">
        <v>11</v>
      </c>
    </row>
    <row r="5607" spans="1:6" x14ac:dyDescent="0.25">
      <c r="A5607" t="str">
        <f>"22672907"</f>
        <v>22672907</v>
      </c>
      <c r="B5607" t="s">
        <v>5907</v>
      </c>
      <c r="C5607" t="s">
        <v>7</v>
      </c>
      <c r="D5607" t="str">
        <f t="shared" si="210"/>
        <v>564541</v>
      </c>
      <c r="E5607" t="s">
        <v>5903</v>
      </c>
      <c r="F5607" t="s">
        <v>11</v>
      </c>
    </row>
    <row r="5608" spans="1:6" x14ac:dyDescent="0.25">
      <c r="A5608" t="str">
        <f>"22668225"</f>
        <v>22668225</v>
      </c>
      <c r="B5608" t="s">
        <v>5908</v>
      </c>
      <c r="C5608" t="s">
        <v>7</v>
      </c>
      <c r="D5608" t="str">
        <f t="shared" si="210"/>
        <v>564541</v>
      </c>
      <c r="E5608" t="s">
        <v>5903</v>
      </c>
      <c r="F5608" t="s">
        <v>11</v>
      </c>
    </row>
    <row r="5609" spans="1:6" x14ac:dyDescent="0.25">
      <c r="A5609" t="str">
        <f>"05515491"</f>
        <v>05515491</v>
      </c>
      <c r="B5609" t="s">
        <v>5909</v>
      </c>
      <c r="C5609" t="s">
        <v>7</v>
      </c>
      <c r="D5609" t="str">
        <f t="shared" si="210"/>
        <v>564541</v>
      </c>
      <c r="E5609" t="s">
        <v>5903</v>
      </c>
      <c r="F5609" t="s">
        <v>11</v>
      </c>
    </row>
    <row r="5610" spans="1:6" x14ac:dyDescent="0.25">
      <c r="A5610" t="str">
        <f>"22901884"</f>
        <v>22901884</v>
      </c>
      <c r="B5610" t="s">
        <v>5910</v>
      </c>
      <c r="C5610" t="s">
        <v>7</v>
      </c>
      <c r="D5610" t="str">
        <f t="shared" si="210"/>
        <v>564541</v>
      </c>
      <c r="E5610" t="s">
        <v>5903</v>
      </c>
      <c r="F5610" t="s">
        <v>11</v>
      </c>
    </row>
    <row r="5611" spans="1:6" x14ac:dyDescent="0.25">
      <c r="A5611" t="str">
        <f>"26668742"</f>
        <v>26668742</v>
      </c>
      <c r="B5611" t="s">
        <v>5911</v>
      </c>
      <c r="C5611" t="s">
        <v>7</v>
      </c>
      <c r="D5611" t="str">
        <f t="shared" si="210"/>
        <v>564541</v>
      </c>
      <c r="E5611" t="s">
        <v>5903</v>
      </c>
      <c r="F5611" t="s">
        <v>11</v>
      </c>
    </row>
    <row r="5612" spans="1:6" x14ac:dyDescent="0.25">
      <c r="A5612" t="str">
        <f>"65100239"</f>
        <v>65100239</v>
      </c>
      <c r="B5612" t="s">
        <v>5912</v>
      </c>
      <c r="C5612" t="s">
        <v>15</v>
      </c>
      <c r="D5612" t="str">
        <f t="shared" si="210"/>
        <v>564541</v>
      </c>
      <c r="E5612" t="s">
        <v>5903</v>
      </c>
      <c r="F5612" t="s">
        <v>16</v>
      </c>
    </row>
    <row r="5613" spans="1:6" x14ac:dyDescent="0.25">
      <c r="A5613" t="str">
        <f>"70939845"</f>
        <v>70939845</v>
      </c>
      <c r="B5613" t="s">
        <v>5913</v>
      </c>
      <c r="C5613" t="s">
        <v>7</v>
      </c>
      <c r="D5613" t="str">
        <f t="shared" si="210"/>
        <v>564541</v>
      </c>
      <c r="E5613" t="s">
        <v>5903</v>
      </c>
      <c r="F5613" t="s">
        <v>9</v>
      </c>
    </row>
    <row r="5614" spans="1:6" x14ac:dyDescent="0.25">
      <c r="A5614" t="str">
        <f>"72059681"</f>
        <v>72059681</v>
      </c>
      <c r="B5614" t="s">
        <v>5914</v>
      </c>
      <c r="C5614" t="s">
        <v>15</v>
      </c>
      <c r="D5614" t="str">
        <f t="shared" ref="D5614:D5626" si="211">"563862"</f>
        <v>563862</v>
      </c>
      <c r="E5614" t="s">
        <v>5915</v>
      </c>
      <c r="F5614" t="s">
        <v>139</v>
      </c>
    </row>
    <row r="5615" spans="1:6" x14ac:dyDescent="0.25">
      <c r="A5615" t="str">
        <f>"75106221"</f>
        <v>75106221</v>
      </c>
      <c r="B5615" t="s">
        <v>5916</v>
      </c>
      <c r="C5615" t="s">
        <v>15</v>
      </c>
      <c r="D5615" t="str">
        <f t="shared" si="211"/>
        <v>563862</v>
      </c>
      <c r="E5615" t="s">
        <v>5915</v>
      </c>
      <c r="F5615" t="s">
        <v>29</v>
      </c>
    </row>
    <row r="5616" spans="1:6" x14ac:dyDescent="0.25">
      <c r="A5616" t="str">
        <f>"43256457"</f>
        <v>43256457</v>
      </c>
      <c r="B5616" t="s">
        <v>5917</v>
      </c>
      <c r="C5616" t="s">
        <v>37</v>
      </c>
      <c r="D5616" t="str">
        <f t="shared" si="211"/>
        <v>563862</v>
      </c>
      <c r="E5616" t="s">
        <v>5915</v>
      </c>
      <c r="F5616" t="s">
        <v>38</v>
      </c>
    </row>
    <row r="5617" spans="1:6" x14ac:dyDescent="0.25">
      <c r="A5617" t="str">
        <f>"26566982"</f>
        <v>26566982</v>
      </c>
      <c r="B5617" t="s">
        <v>5918</v>
      </c>
      <c r="C5617" t="s">
        <v>7</v>
      </c>
      <c r="D5617" t="str">
        <f t="shared" si="211"/>
        <v>563862</v>
      </c>
      <c r="E5617" t="s">
        <v>5915</v>
      </c>
      <c r="F5617" t="s">
        <v>62</v>
      </c>
    </row>
    <row r="5618" spans="1:6" x14ac:dyDescent="0.25">
      <c r="A5618" t="str">
        <f>"26558831"</f>
        <v>26558831</v>
      </c>
      <c r="B5618" t="s">
        <v>5919</v>
      </c>
      <c r="C5618" t="s">
        <v>7</v>
      </c>
      <c r="D5618" t="str">
        <f t="shared" si="211"/>
        <v>563862</v>
      </c>
      <c r="E5618" t="s">
        <v>5915</v>
      </c>
      <c r="F5618" t="s">
        <v>38</v>
      </c>
    </row>
    <row r="5619" spans="1:6" x14ac:dyDescent="0.25">
      <c r="A5619" t="str">
        <f>"43257569"</f>
        <v>43257569</v>
      </c>
      <c r="B5619" t="s">
        <v>5920</v>
      </c>
      <c r="C5619" t="s">
        <v>7</v>
      </c>
      <c r="D5619" t="str">
        <f t="shared" si="211"/>
        <v>563862</v>
      </c>
      <c r="E5619" t="s">
        <v>5915</v>
      </c>
      <c r="F5619" t="s">
        <v>38</v>
      </c>
    </row>
    <row r="5620" spans="1:6" x14ac:dyDescent="0.25">
      <c r="A5620" t="str">
        <f>"28553942"</f>
        <v>28553942</v>
      </c>
      <c r="B5620" t="s">
        <v>5921</v>
      </c>
      <c r="C5620" t="s">
        <v>7</v>
      </c>
      <c r="D5620" t="str">
        <f t="shared" si="211"/>
        <v>563862</v>
      </c>
      <c r="E5620" t="s">
        <v>5915</v>
      </c>
      <c r="F5620" t="s">
        <v>11</v>
      </c>
    </row>
    <row r="5621" spans="1:6" x14ac:dyDescent="0.25">
      <c r="A5621" t="str">
        <f>"27013383"</f>
        <v>27013383</v>
      </c>
      <c r="B5621" t="s">
        <v>5922</v>
      </c>
      <c r="C5621" t="s">
        <v>7</v>
      </c>
      <c r="D5621" t="str">
        <f t="shared" si="211"/>
        <v>563862</v>
      </c>
      <c r="E5621" t="s">
        <v>5915</v>
      </c>
      <c r="F5621" t="s">
        <v>9</v>
      </c>
    </row>
    <row r="5622" spans="1:6" x14ac:dyDescent="0.25">
      <c r="A5622" t="str">
        <f>"64668266"</f>
        <v>64668266</v>
      </c>
      <c r="B5622" t="s">
        <v>5923</v>
      </c>
      <c r="C5622" t="s">
        <v>15</v>
      </c>
      <c r="D5622" t="str">
        <f t="shared" si="211"/>
        <v>563862</v>
      </c>
      <c r="E5622" t="s">
        <v>5915</v>
      </c>
      <c r="F5622" t="s">
        <v>16</v>
      </c>
    </row>
    <row r="5623" spans="1:6" x14ac:dyDescent="0.25">
      <c r="A5623" t="str">
        <f>"64668355"</f>
        <v>64668355</v>
      </c>
      <c r="B5623" t="s">
        <v>5924</v>
      </c>
      <c r="C5623" t="s">
        <v>15</v>
      </c>
      <c r="D5623" t="str">
        <f t="shared" si="211"/>
        <v>563862</v>
      </c>
      <c r="E5623" t="s">
        <v>5915</v>
      </c>
      <c r="F5623" t="s">
        <v>16</v>
      </c>
    </row>
    <row r="5624" spans="1:6" x14ac:dyDescent="0.25">
      <c r="A5624" t="str">
        <f>"04371691"</f>
        <v>04371691</v>
      </c>
      <c r="B5624" t="s">
        <v>5925</v>
      </c>
      <c r="C5624" t="s">
        <v>7</v>
      </c>
      <c r="D5624" t="str">
        <f t="shared" si="211"/>
        <v>563862</v>
      </c>
      <c r="E5624" t="s">
        <v>5915</v>
      </c>
      <c r="F5624" t="s">
        <v>11</v>
      </c>
    </row>
    <row r="5625" spans="1:6" x14ac:dyDescent="0.25">
      <c r="A5625" t="str">
        <f>"64669874"</f>
        <v>64669874</v>
      </c>
      <c r="B5625" t="s">
        <v>5926</v>
      </c>
      <c r="C5625" t="s">
        <v>15</v>
      </c>
      <c r="D5625" t="str">
        <f t="shared" si="211"/>
        <v>563862</v>
      </c>
      <c r="E5625" t="s">
        <v>5915</v>
      </c>
      <c r="F5625" t="s">
        <v>9</v>
      </c>
    </row>
    <row r="5626" spans="1:6" x14ac:dyDescent="0.25">
      <c r="A5626" t="str">
        <f>"60252910"</f>
        <v>60252910</v>
      </c>
      <c r="B5626" t="s">
        <v>5927</v>
      </c>
      <c r="C5626" t="s">
        <v>7</v>
      </c>
      <c r="D5626" t="str">
        <f t="shared" si="211"/>
        <v>563862</v>
      </c>
      <c r="E5626" t="s">
        <v>5915</v>
      </c>
      <c r="F5626" t="s">
        <v>9</v>
      </c>
    </row>
    <row r="5627" spans="1:6" x14ac:dyDescent="0.25">
      <c r="A5627" t="str">
        <f>"49294342"</f>
        <v>49294342</v>
      </c>
      <c r="B5627" t="s">
        <v>5928</v>
      </c>
      <c r="C5627" t="s">
        <v>37</v>
      </c>
      <c r="D5627" t="str">
        <f t="shared" ref="D5627:D5634" si="212">"577707"</f>
        <v>577707</v>
      </c>
      <c r="E5627" t="s">
        <v>5929</v>
      </c>
      <c r="F5627" t="s">
        <v>38</v>
      </c>
    </row>
    <row r="5628" spans="1:6" x14ac:dyDescent="0.25">
      <c r="A5628" t="str">
        <f>"09183311"</f>
        <v>09183311</v>
      </c>
      <c r="B5628" t="s">
        <v>5930</v>
      </c>
      <c r="C5628" t="s">
        <v>7</v>
      </c>
      <c r="D5628" t="str">
        <f t="shared" si="212"/>
        <v>577707</v>
      </c>
      <c r="E5628" t="s">
        <v>5929</v>
      </c>
      <c r="F5628" t="s">
        <v>18</v>
      </c>
    </row>
    <row r="5629" spans="1:6" x14ac:dyDescent="0.25">
      <c r="A5629" t="str">
        <f>"45597855"</f>
        <v>45597855</v>
      </c>
      <c r="B5629" t="s">
        <v>5931</v>
      </c>
      <c r="C5629" t="s">
        <v>7</v>
      </c>
      <c r="D5629" t="str">
        <f t="shared" si="212"/>
        <v>577707</v>
      </c>
      <c r="E5629" t="s">
        <v>5929</v>
      </c>
      <c r="F5629" t="s">
        <v>38</v>
      </c>
    </row>
    <row r="5630" spans="1:6" x14ac:dyDescent="0.25">
      <c r="A5630" t="str">
        <f>"62014226"</f>
        <v>62014226</v>
      </c>
      <c r="B5630" t="s">
        <v>5932</v>
      </c>
      <c r="C5630" t="s">
        <v>15</v>
      </c>
      <c r="D5630" t="str">
        <f t="shared" si="212"/>
        <v>577707</v>
      </c>
      <c r="E5630" t="s">
        <v>5929</v>
      </c>
      <c r="F5630" t="s">
        <v>16</v>
      </c>
    </row>
    <row r="5631" spans="1:6" x14ac:dyDescent="0.25">
      <c r="A5631" t="str">
        <f>"62013785"</f>
        <v>62013785</v>
      </c>
      <c r="B5631" t="s">
        <v>5933</v>
      </c>
      <c r="C5631" t="s">
        <v>15</v>
      </c>
      <c r="D5631" t="str">
        <f t="shared" si="212"/>
        <v>577707</v>
      </c>
      <c r="E5631" t="s">
        <v>5929</v>
      </c>
      <c r="F5631" t="s">
        <v>16</v>
      </c>
    </row>
    <row r="5632" spans="1:6" x14ac:dyDescent="0.25">
      <c r="A5632" t="str">
        <f>"70947759"</f>
        <v>70947759</v>
      </c>
      <c r="B5632" t="s">
        <v>5934</v>
      </c>
      <c r="C5632" t="s">
        <v>15</v>
      </c>
      <c r="D5632" t="str">
        <f t="shared" si="212"/>
        <v>577707</v>
      </c>
      <c r="E5632" t="s">
        <v>5929</v>
      </c>
      <c r="F5632" t="s">
        <v>9</v>
      </c>
    </row>
    <row r="5633" spans="1:6" x14ac:dyDescent="0.25">
      <c r="A5633" t="str">
        <f>"49294075"</f>
        <v>49294075</v>
      </c>
      <c r="B5633" t="s">
        <v>5935</v>
      </c>
      <c r="C5633" t="s">
        <v>7</v>
      </c>
      <c r="D5633" t="str">
        <f t="shared" si="212"/>
        <v>577707</v>
      </c>
      <c r="E5633" t="s">
        <v>5929</v>
      </c>
      <c r="F5633" t="s">
        <v>65</v>
      </c>
    </row>
    <row r="5634" spans="1:6" x14ac:dyDescent="0.25">
      <c r="A5634" t="str">
        <f>"49294563"</f>
        <v>49294563</v>
      </c>
      <c r="B5634" t="s">
        <v>5936</v>
      </c>
      <c r="C5634" t="s">
        <v>7</v>
      </c>
      <c r="D5634" t="str">
        <f t="shared" si="212"/>
        <v>577707</v>
      </c>
      <c r="E5634" t="s">
        <v>5929</v>
      </c>
      <c r="F5634" t="s">
        <v>65</v>
      </c>
    </row>
    <row r="5635" spans="1:6" x14ac:dyDescent="0.25">
      <c r="A5635" t="str">
        <f>"14020301"</f>
        <v>14020301</v>
      </c>
      <c r="B5635" t="s">
        <v>5937</v>
      </c>
      <c r="C5635" t="s">
        <v>7</v>
      </c>
      <c r="D5635" t="str">
        <f t="shared" ref="D5635:D5676" si="213">"562262"</f>
        <v>562262</v>
      </c>
      <c r="E5635" t="s">
        <v>5938</v>
      </c>
      <c r="F5635" t="s">
        <v>11</v>
      </c>
    </row>
    <row r="5636" spans="1:6" x14ac:dyDescent="0.25">
      <c r="A5636" t="str">
        <f>"68455038"</f>
        <v>68455038</v>
      </c>
      <c r="B5636" t="s">
        <v>5939</v>
      </c>
      <c r="C5636" t="s">
        <v>15</v>
      </c>
      <c r="D5636" t="str">
        <f t="shared" si="213"/>
        <v>562262</v>
      </c>
      <c r="E5636" t="s">
        <v>5938</v>
      </c>
      <c r="F5636" t="s">
        <v>11</v>
      </c>
    </row>
    <row r="5637" spans="1:6" x14ac:dyDescent="0.25">
      <c r="A5637" t="str">
        <f>"63778360"</f>
        <v>63778360</v>
      </c>
      <c r="B5637" t="s">
        <v>5940</v>
      </c>
      <c r="C5637" t="s">
        <v>7</v>
      </c>
      <c r="D5637" t="str">
        <f t="shared" si="213"/>
        <v>562262</v>
      </c>
      <c r="E5637" t="s">
        <v>5938</v>
      </c>
      <c r="F5637" t="s">
        <v>35</v>
      </c>
    </row>
    <row r="5638" spans="1:6" x14ac:dyDescent="0.25">
      <c r="A5638" t="str">
        <f>"18007546"</f>
        <v>18007546</v>
      </c>
      <c r="B5638" t="s">
        <v>5941</v>
      </c>
      <c r="C5638" t="s">
        <v>7</v>
      </c>
      <c r="D5638" t="str">
        <f t="shared" si="213"/>
        <v>562262</v>
      </c>
      <c r="E5638" t="s">
        <v>5938</v>
      </c>
      <c r="F5638" t="s">
        <v>18</v>
      </c>
    </row>
    <row r="5639" spans="1:6" x14ac:dyDescent="0.25">
      <c r="A5639" t="str">
        <f>"19936788"</f>
        <v>19936788</v>
      </c>
      <c r="B5639" t="s">
        <v>5942</v>
      </c>
      <c r="C5639" t="s">
        <v>7</v>
      </c>
      <c r="D5639" t="str">
        <f t="shared" si="213"/>
        <v>562262</v>
      </c>
      <c r="E5639" t="s">
        <v>5938</v>
      </c>
      <c r="F5639" t="s">
        <v>29</v>
      </c>
    </row>
    <row r="5640" spans="1:6" x14ac:dyDescent="0.25">
      <c r="A5640" t="str">
        <f>"46750631"</f>
        <v>46750631</v>
      </c>
      <c r="B5640" t="s">
        <v>5943</v>
      </c>
      <c r="C5640" t="s">
        <v>15</v>
      </c>
      <c r="D5640" t="str">
        <f t="shared" si="213"/>
        <v>562262</v>
      </c>
      <c r="E5640" t="s">
        <v>5938</v>
      </c>
      <c r="F5640" t="s">
        <v>11</v>
      </c>
    </row>
    <row r="5641" spans="1:6" x14ac:dyDescent="0.25">
      <c r="A5641" t="str">
        <f>"65650417"</f>
        <v>65650417</v>
      </c>
      <c r="B5641" t="s">
        <v>5944</v>
      </c>
      <c r="C5641" t="s">
        <v>15</v>
      </c>
      <c r="D5641" t="str">
        <f t="shared" si="213"/>
        <v>562262</v>
      </c>
      <c r="E5641" t="s">
        <v>5938</v>
      </c>
      <c r="F5641" t="s">
        <v>29</v>
      </c>
    </row>
    <row r="5642" spans="1:6" x14ac:dyDescent="0.25">
      <c r="A5642" t="str">
        <f>"22844589"</f>
        <v>22844589</v>
      </c>
      <c r="B5642" t="s">
        <v>5945</v>
      </c>
      <c r="C5642" t="s">
        <v>7</v>
      </c>
      <c r="D5642" t="str">
        <f t="shared" si="213"/>
        <v>562262</v>
      </c>
      <c r="E5642" t="s">
        <v>5938</v>
      </c>
      <c r="F5642" t="s">
        <v>11</v>
      </c>
    </row>
    <row r="5643" spans="1:6" x14ac:dyDescent="0.25">
      <c r="A5643" t="str">
        <f>"63778343"</f>
        <v>63778343</v>
      </c>
      <c r="B5643" t="s">
        <v>5946</v>
      </c>
      <c r="C5643" t="s">
        <v>7</v>
      </c>
      <c r="D5643" t="str">
        <f t="shared" si="213"/>
        <v>562262</v>
      </c>
      <c r="E5643" t="s">
        <v>5938</v>
      </c>
      <c r="F5643" t="s">
        <v>328</v>
      </c>
    </row>
    <row r="5644" spans="1:6" x14ac:dyDescent="0.25">
      <c r="A5644" t="str">
        <f>"49864106"</f>
        <v>49864106</v>
      </c>
      <c r="B5644" t="s">
        <v>5947</v>
      </c>
      <c r="C5644" t="s">
        <v>7</v>
      </c>
      <c r="D5644" t="str">
        <f t="shared" si="213"/>
        <v>562262</v>
      </c>
      <c r="E5644" t="s">
        <v>5938</v>
      </c>
      <c r="F5644" t="s">
        <v>9</v>
      </c>
    </row>
    <row r="5645" spans="1:6" x14ac:dyDescent="0.25">
      <c r="A5645" t="str">
        <f>"01867229"</f>
        <v>01867229</v>
      </c>
      <c r="B5645" t="s">
        <v>5948</v>
      </c>
      <c r="C5645" t="s">
        <v>37</v>
      </c>
      <c r="D5645" t="str">
        <f t="shared" si="213"/>
        <v>562262</v>
      </c>
      <c r="E5645" t="s">
        <v>5938</v>
      </c>
      <c r="F5645" t="s">
        <v>38</v>
      </c>
    </row>
    <row r="5646" spans="1:6" x14ac:dyDescent="0.25">
      <c r="A5646" t="str">
        <f>"10973711"</f>
        <v>10973711</v>
      </c>
      <c r="B5646" t="s">
        <v>5949</v>
      </c>
      <c r="C5646" t="s">
        <v>37</v>
      </c>
      <c r="D5646" t="str">
        <f t="shared" si="213"/>
        <v>562262</v>
      </c>
      <c r="E5646" t="s">
        <v>5938</v>
      </c>
      <c r="F5646" t="s">
        <v>38</v>
      </c>
    </row>
    <row r="5647" spans="1:6" x14ac:dyDescent="0.25">
      <c r="A5647" t="str">
        <f>"02139537"</f>
        <v>02139537</v>
      </c>
      <c r="B5647" t="s">
        <v>5950</v>
      </c>
      <c r="C5647" t="s">
        <v>37</v>
      </c>
      <c r="D5647" t="str">
        <f t="shared" si="213"/>
        <v>562262</v>
      </c>
      <c r="E5647" t="s">
        <v>5938</v>
      </c>
      <c r="F5647" t="s">
        <v>38</v>
      </c>
    </row>
    <row r="5648" spans="1:6" x14ac:dyDescent="0.25">
      <c r="A5648" t="str">
        <f>"27009289"</f>
        <v>27009289</v>
      </c>
      <c r="B5648" t="s">
        <v>5951</v>
      </c>
      <c r="C5648" t="s">
        <v>7</v>
      </c>
      <c r="D5648" t="str">
        <f t="shared" si="213"/>
        <v>562262</v>
      </c>
      <c r="E5648" t="s">
        <v>5938</v>
      </c>
      <c r="F5648" t="s">
        <v>65</v>
      </c>
    </row>
    <row r="5649" spans="1:6" x14ac:dyDescent="0.25">
      <c r="A5649" t="str">
        <f>"26556073"</f>
        <v>26556073</v>
      </c>
      <c r="B5649" t="s">
        <v>5952</v>
      </c>
      <c r="C5649" t="s">
        <v>7</v>
      </c>
      <c r="D5649" t="str">
        <f t="shared" si="213"/>
        <v>562262</v>
      </c>
      <c r="E5649" t="s">
        <v>5938</v>
      </c>
      <c r="F5649" t="s">
        <v>35</v>
      </c>
    </row>
    <row r="5650" spans="1:6" x14ac:dyDescent="0.25">
      <c r="A5650" t="str">
        <f>"07509227"</f>
        <v>07509227</v>
      </c>
      <c r="B5650" t="s">
        <v>5953</v>
      </c>
      <c r="C5650" t="s">
        <v>7</v>
      </c>
      <c r="D5650" t="str">
        <f t="shared" si="213"/>
        <v>562262</v>
      </c>
      <c r="E5650" t="s">
        <v>5938</v>
      </c>
      <c r="F5650" t="s">
        <v>11</v>
      </c>
    </row>
    <row r="5651" spans="1:6" x14ac:dyDescent="0.25">
      <c r="A5651" t="str">
        <f>"22876499"</f>
        <v>22876499</v>
      </c>
      <c r="B5651" t="s">
        <v>5954</v>
      </c>
      <c r="C5651" t="s">
        <v>7</v>
      </c>
      <c r="D5651" t="str">
        <f t="shared" si="213"/>
        <v>562262</v>
      </c>
      <c r="E5651" t="s">
        <v>5938</v>
      </c>
      <c r="F5651" t="s">
        <v>29</v>
      </c>
    </row>
    <row r="5652" spans="1:6" x14ac:dyDescent="0.25">
      <c r="A5652" t="str">
        <f>"63778661"</f>
        <v>63778661</v>
      </c>
      <c r="B5652" t="s">
        <v>5955</v>
      </c>
      <c r="C5652" t="s">
        <v>7</v>
      </c>
      <c r="D5652" t="str">
        <f t="shared" si="213"/>
        <v>562262</v>
      </c>
      <c r="E5652" t="s">
        <v>5938</v>
      </c>
      <c r="F5652" t="s">
        <v>11</v>
      </c>
    </row>
    <row r="5653" spans="1:6" x14ac:dyDescent="0.25">
      <c r="A5653" t="str">
        <f>"01227548"</f>
        <v>01227548</v>
      </c>
      <c r="B5653" t="s">
        <v>5956</v>
      </c>
      <c r="C5653" t="s">
        <v>7</v>
      </c>
      <c r="D5653" t="str">
        <f t="shared" si="213"/>
        <v>562262</v>
      </c>
      <c r="E5653" t="s">
        <v>5938</v>
      </c>
      <c r="F5653" t="s">
        <v>11</v>
      </c>
    </row>
    <row r="5654" spans="1:6" x14ac:dyDescent="0.25">
      <c r="A5654" t="str">
        <f>"22888942"</f>
        <v>22888942</v>
      </c>
      <c r="B5654" t="s">
        <v>5957</v>
      </c>
      <c r="C5654" t="s">
        <v>7</v>
      </c>
      <c r="D5654" t="str">
        <f t="shared" si="213"/>
        <v>562262</v>
      </c>
      <c r="E5654" t="s">
        <v>5938</v>
      </c>
      <c r="F5654" t="s">
        <v>11</v>
      </c>
    </row>
    <row r="5655" spans="1:6" x14ac:dyDescent="0.25">
      <c r="A5655" t="str">
        <f>"48282332"</f>
        <v>48282332</v>
      </c>
      <c r="B5655" t="s">
        <v>5958</v>
      </c>
      <c r="C5655" t="s">
        <v>7</v>
      </c>
      <c r="D5655" t="str">
        <f t="shared" si="213"/>
        <v>562262</v>
      </c>
      <c r="E5655" t="s">
        <v>5938</v>
      </c>
      <c r="F5655" t="s">
        <v>38</v>
      </c>
    </row>
    <row r="5656" spans="1:6" x14ac:dyDescent="0.25">
      <c r="A5656" t="str">
        <f>"46750762"</f>
        <v>46750762</v>
      </c>
      <c r="B5656" t="s">
        <v>5959</v>
      </c>
      <c r="C5656" t="s">
        <v>7</v>
      </c>
      <c r="D5656" t="str">
        <f t="shared" si="213"/>
        <v>562262</v>
      </c>
      <c r="E5656" t="s">
        <v>5938</v>
      </c>
      <c r="F5656" t="s">
        <v>38</v>
      </c>
    </row>
    <row r="5657" spans="1:6" x14ac:dyDescent="0.25">
      <c r="A5657" t="str">
        <f>"06025374"</f>
        <v>06025374</v>
      </c>
      <c r="B5657" t="s">
        <v>5960</v>
      </c>
      <c r="C5657" t="s">
        <v>7</v>
      </c>
      <c r="D5657" t="str">
        <f t="shared" si="213"/>
        <v>562262</v>
      </c>
      <c r="E5657" t="s">
        <v>5938</v>
      </c>
      <c r="F5657" t="s">
        <v>38</v>
      </c>
    </row>
    <row r="5658" spans="1:6" x14ac:dyDescent="0.25">
      <c r="A5658" t="str">
        <f>"26635631"</f>
        <v>26635631</v>
      </c>
      <c r="B5658" t="s">
        <v>5961</v>
      </c>
      <c r="C5658" t="s">
        <v>7</v>
      </c>
      <c r="D5658" t="str">
        <f t="shared" si="213"/>
        <v>562262</v>
      </c>
      <c r="E5658" t="s">
        <v>5938</v>
      </c>
      <c r="F5658" t="s">
        <v>11</v>
      </c>
    </row>
    <row r="5659" spans="1:6" x14ac:dyDescent="0.25">
      <c r="A5659" t="str">
        <f>"05038511"</f>
        <v>05038511</v>
      </c>
      <c r="B5659" t="s">
        <v>5962</v>
      </c>
      <c r="C5659" t="s">
        <v>15</v>
      </c>
      <c r="D5659" t="str">
        <f t="shared" si="213"/>
        <v>562262</v>
      </c>
      <c r="E5659" t="s">
        <v>5938</v>
      </c>
      <c r="F5659" t="s">
        <v>9</v>
      </c>
    </row>
    <row r="5660" spans="1:6" x14ac:dyDescent="0.25">
      <c r="A5660" t="str">
        <f>"04887484"</f>
        <v>04887484</v>
      </c>
      <c r="B5660" t="s">
        <v>5963</v>
      </c>
      <c r="C5660" t="s">
        <v>7</v>
      </c>
      <c r="D5660" t="str">
        <f t="shared" si="213"/>
        <v>562262</v>
      </c>
      <c r="E5660" t="s">
        <v>5938</v>
      </c>
      <c r="F5660" t="s">
        <v>35</v>
      </c>
    </row>
    <row r="5661" spans="1:6" x14ac:dyDescent="0.25">
      <c r="A5661" t="str">
        <f>"48282260"</f>
        <v>48282260</v>
      </c>
      <c r="B5661" t="s">
        <v>5964</v>
      </c>
      <c r="C5661" t="s">
        <v>43</v>
      </c>
      <c r="D5661" t="str">
        <f t="shared" si="213"/>
        <v>562262</v>
      </c>
      <c r="E5661" t="s">
        <v>5938</v>
      </c>
      <c r="F5661" t="s">
        <v>44</v>
      </c>
    </row>
    <row r="5662" spans="1:6" x14ac:dyDescent="0.25">
      <c r="A5662" t="str">
        <f>"62237888"</f>
        <v>62237888</v>
      </c>
      <c r="B5662" t="s">
        <v>5965</v>
      </c>
      <c r="C5662" t="s">
        <v>43</v>
      </c>
      <c r="D5662" t="str">
        <f t="shared" si="213"/>
        <v>562262</v>
      </c>
      <c r="E5662" t="s">
        <v>5938</v>
      </c>
      <c r="F5662" t="s">
        <v>44</v>
      </c>
    </row>
    <row r="5663" spans="1:6" x14ac:dyDescent="0.25">
      <c r="A5663" t="str">
        <f>"62237870"</f>
        <v>62237870</v>
      </c>
      <c r="B5663" t="s">
        <v>5966</v>
      </c>
      <c r="C5663" t="s">
        <v>43</v>
      </c>
      <c r="D5663" t="str">
        <f t="shared" si="213"/>
        <v>562262</v>
      </c>
      <c r="E5663" t="s">
        <v>5938</v>
      </c>
      <c r="F5663" t="s">
        <v>44</v>
      </c>
    </row>
    <row r="5664" spans="1:6" x14ac:dyDescent="0.25">
      <c r="A5664" t="str">
        <f>"22844074"</f>
        <v>22844074</v>
      </c>
      <c r="B5664" t="s">
        <v>5967</v>
      </c>
      <c r="C5664" t="s">
        <v>7</v>
      </c>
      <c r="D5664" t="str">
        <f t="shared" si="213"/>
        <v>562262</v>
      </c>
      <c r="E5664" t="s">
        <v>5938</v>
      </c>
      <c r="F5664" t="s">
        <v>11</v>
      </c>
    </row>
    <row r="5665" spans="1:6" x14ac:dyDescent="0.25">
      <c r="A5665" t="str">
        <f>"70226091"</f>
        <v>70226091</v>
      </c>
      <c r="B5665" t="s">
        <v>5968</v>
      </c>
      <c r="C5665" t="s">
        <v>15</v>
      </c>
      <c r="D5665" t="str">
        <f t="shared" si="213"/>
        <v>562262</v>
      </c>
      <c r="E5665" t="s">
        <v>5938</v>
      </c>
      <c r="F5665" t="s">
        <v>16</v>
      </c>
    </row>
    <row r="5666" spans="1:6" x14ac:dyDescent="0.25">
      <c r="A5666" t="str">
        <f>"26574616"</f>
        <v>26574616</v>
      </c>
      <c r="B5666" t="s">
        <v>5969</v>
      </c>
      <c r="C5666" t="s">
        <v>7</v>
      </c>
      <c r="D5666" t="str">
        <f t="shared" si="213"/>
        <v>562262</v>
      </c>
      <c r="E5666" t="s">
        <v>5938</v>
      </c>
      <c r="F5666" t="s">
        <v>62</v>
      </c>
    </row>
    <row r="5667" spans="1:6" x14ac:dyDescent="0.25">
      <c r="A5667" t="str">
        <f>"08359181"</f>
        <v>08359181</v>
      </c>
      <c r="B5667" t="s">
        <v>5970</v>
      </c>
      <c r="C5667" t="s">
        <v>7</v>
      </c>
      <c r="D5667" t="str">
        <f t="shared" si="213"/>
        <v>562262</v>
      </c>
      <c r="E5667" t="s">
        <v>5938</v>
      </c>
      <c r="F5667" t="s">
        <v>11</v>
      </c>
    </row>
    <row r="5668" spans="1:6" x14ac:dyDescent="0.25">
      <c r="A5668" t="str">
        <f>"22765093"</f>
        <v>22765093</v>
      </c>
      <c r="B5668" t="s">
        <v>5971</v>
      </c>
      <c r="C5668" t="s">
        <v>7</v>
      </c>
      <c r="D5668" t="str">
        <f t="shared" si="213"/>
        <v>562262</v>
      </c>
      <c r="E5668" t="s">
        <v>5938</v>
      </c>
      <c r="F5668" t="s">
        <v>11</v>
      </c>
    </row>
    <row r="5669" spans="1:6" x14ac:dyDescent="0.25">
      <c r="A5669" t="str">
        <f>"02495031"</f>
        <v>02495031</v>
      </c>
      <c r="B5669" t="s">
        <v>5972</v>
      </c>
      <c r="C5669" t="s">
        <v>7</v>
      </c>
      <c r="D5669" t="str">
        <f t="shared" si="213"/>
        <v>562262</v>
      </c>
      <c r="E5669" t="s">
        <v>5938</v>
      </c>
      <c r="F5669" t="s">
        <v>13</v>
      </c>
    </row>
    <row r="5670" spans="1:6" x14ac:dyDescent="0.25">
      <c r="A5670" t="str">
        <f>"26552299"</f>
        <v>26552299</v>
      </c>
      <c r="B5670" t="s">
        <v>5973</v>
      </c>
      <c r="C5670" t="s">
        <v>7</v>
      </c>
      <c r="D5670" t="str">
        <f t="shared" si="213"/>
        <v>562262</v>
      </c>
      <c r="E5670" t="s">
        <v>5938</v>
      </c>
      <c r="F5670" t="s">
        <v>9</v>
      </c>
    </row>
    <row r="5671" spans="1:6" x14ac:dyDescent="0.25">
      <c r="A5671" t="str">
        <f>"70804443"</f>
        <v>70804443</v>
      </c>
      <c r="B5671" t="s">
        <v>5974</v>
      </c>
      <c r="C5671" t="s">
        <v>7</v>
      </c>
      <c r="D5671" t="str">
        <f t="shared" si="213"/>
        <v>562262</v>
      </c>
      <c r="E5671" t="s">
        <v>5938</v>
      </c>
      <c r="F5671" t="s">
        <v>65</v>
      </c>
    </row>
    <row r="5672" spans="1:6" x14ac:dyDescent="0.25">
      <c r="A5672" t="str">
        <f>"48282766"</f>
        <v>48282766</v>
      </c>
      <c r="B5672" t="s">
        <v>5975</v>
      </c>
      <c r="C5672" t="s">
        <v>7</v>
      </c>
      <c r="D5672" t="str">
        <f t="shared" si="213"/>
        <v>562262</v>
      </c>
      <c r="E5672" t="s">
        <v>5938</v>
      </c>
      <c r="F5672" t="s">
        <v>9</v>
      </c>
    </row>
    <row r="5673" spans="1:6" x14ac:dyDescent="0.25">
      <c r="A5673" t="str">
        <f>"00465879"</f>
        <v>00465879</v>
      </c>
      <c r="B5673" t="s">
        <v>5976</v>
      </c>
      <c r="C5673" t="s">
        <v>15</v>
      </c>
      <c r="D5673" t="str">
        <f t="shared" si="213"/>
        <v>562262</v>
      </c>
      <c r="E5673" t="s">
        <v>5938</v>
      </c>
      <c r="F5673" t="s">
        <v>11</v>
      </c>
    </row>
    <row r="5674" spans="1:6" x14ac:dyDescent="0.25">
      <c r="A5674" t="str">
        <f>"71211284"</f>
        <v>71211284</v>
      </c>
      <c r="B5674" t="s">
        <v>5977</v>
      </c>
      <c r="C5674" t="s">
        <v>15</v>
      </c>
      <c r="D5674" t="str">
        <f t="shared" si="213"/>
        <v>562262</v>
      </c>
      <c r="E5674" t="s">
        <v>5938</v>
      </c>
      <c r="F5674" t="s">
        <v>29</v>
      </c>
    </row>
    <row r="5675" spans="1:6" x14ac:dyDescent="0.25">
      <c r="A5675" t="str">
        <f>"26595672"</f>
        <v>26595672</v>
      </c>
      <c r="B5675" t="s">
        <v>5978</v>
      </c>
      <c r="C5675" t="s">
        <v>7</v>
      </c>
      <c r="D5675" t="str">
        <f t="shared" si="213"/>
        <v>562262</v>
      </c>
      <c r="E5675" t="s">
        <v>5938</v>
      </c>
      <c r="F5675" t="s">
        <v>424</v>
      </c>
    </row>
    <row r="5676" spans="1:6" x14ac:dyDescent="0.25">
      <c r="A5676" t="str">
        <f>"22750452"</f>
        <v>22750452</v>
      </c>
      <c r="B5676" t="s">
        <v>5979</v>
      </c>
      <c r="C5676" t="s">
        <v>20</v>
      </c>
      <c r="D5676" t="str">
        <f t="shared" si="213"/>
        <v>562262</v>
      </c>
      <c r="E5676" t="s">
        <v>5938</v>
      </c>
      <c r="F5676" t="s">
        <v>21</v>
      </c>
    </row>
    <row r="5677" spans="1:6" x14ac:dyDescent="0.25">
      <c r="A5677" t="str">
        <f>"43256317"</f>
        <v>43256317</v>
      </c>
      <c r="B5677" t="s">
        <v>5980</v>
      </c>
      <c r="C5677" t="s">
        <v>37</v>
      </c>
      <c r="D5677" t="str">
        <f t="shared" ref="D5677:D5684" si="214">"563854"</f>
        <v>563854</v>
      </c>
      <c r="E5677" t="s">
        <v>5981</v>
      </c>
      <c r="F5677" t="s">
        <v>38</v>
      </c>
    </row>
    <row r="5678" spans="1:6" x14ac:dyDescent="0.25">
      <c r="A5678" t="str">
        <f>"43256937"</f>
        <v>43256937</v>
      </c>
      <c r="B5678" t="s">
        <v>5982</v>
      </c>
      <c r="C5678" t="s">
        <v>7</v>
      </c>
      <c r="D5678" t="str">
        <f t="shared" si="214"/>
        <v>563854</v>
      </c>
      <c r="E5678" t="s">
        <v>5981</v>
      </c>
      <c r="F5678" t="s">
        <v>9</v>
      </c>
    </row>
    <row r="5679" spans="1:6" x14ac:dyDescent="0.25">
      <c r="A5679" t="str">
        <f>"22899481"</f>
        <v>22899481</v>
      </c>
      <c r="B5679" t="s">
        <v>5983</v>
      </c>
      <c r="C5679" t="s">
        <v>7</v>
      </c>
      <c r="D5679" t="str">
        <f t="shared" si="214"/>
        <v>563854</v>
      </c>
      <c r="E5679" t="s">
        <v>5981</v>
      </c>
      <c r="F5679" t="s">
        <v>29</v>
      </c>
    </row>
    <row r="5680" spans="1:6" x14ac:dyDescent="0.25">
      <c r="A5680" t="str">
        <f>"43256830"</f>
        <v>43256830</v>
      </c>
      <c r="B5680" t="s">
        <v>5984</v>
      </c>
      <c r="C5680" t="s">
        <v>7</v>
      </c>
      <c r="D5680" t="str">
        <f t="shared" si="214"/>
        <v>563854</v>
      </c>
      <c r="E5680" t="s">
        <v>5981</v>
      </c>
      <c r="F5680" t="s">
        <v>38</v>
      </c>
    </row>
    <row r="5681" spans="1:6" x14ac:dyDescent="0.25">
      <c r="A5681" t="str">
        <f>"68974418"</f>
        <v>68974418</v>
      </c>
      <c r="B5681" t="s">
        <v>5985</v>
      </c>
      <c r="C5681" t="s">
        <v>7</v>
      </c>
      <c r="D5681" t="str">
        <f t="shared" si="214"/>
        <v>563854</v>
      </c>
      <c r="E5681" t="s">
        <v>5981</v>
      </c>
      <c r="F5681" t="s">
        <v>11</v>
      </c>
    </row>
    <row r="5682" spans="1:6" x14ac:dyDescent="0.25">
      <c r="A5682" t="str">
        <f>"64668681"</f>
        <v>64668681</v>
      </c>
      <c r="B5682" t="s">
        <v>5986</v>
      </c>
      <c r="C5682" t="s">
        <v>43</v>
      </c>
      <c r="D5682" t="str">
        <f t="shared" si="214"/>
        <v>563854</v>
      </c>
      <c r="E5682" t="s">
        <v>5981</v>
      </c>
      <c r="F5682" t="s">
        <v>44</v>
      </c>
    </row>
    <row r="5683" spans="1:6" x14ac:dyDescent="0.25">
      <c r="A5683" t="str">
        <f>"43254292"</f>
        <v>43254292</v>
      </c>
      <c r="B5683" t="s">
        <v>5987</v>
      </c>
      <c r="C5683" t="s">
        <v>7</v>
      </c>
      <c r="D5683" t="str">
        <f t="shared" si="214"/>
        <v>563854</v>
      </c>
      <c r="E5683" t="s">
        <v>5981</v>
      </c>
      <c r="F5683" t="s">
        <v>35</v>
      </c>
    </row>
    <row r="5684" spans="1:6" x14ac:dyDescent="0.25">
      <c r="A5684" t="str">
        <f>"60252197"</f>
        <v>60252197</v>
      </c>
      <c r="B5684" t="s">
        <v>5988</v>
      </c>
      <c r="C5684" t="s">
        <v>15</v>
      </c>
      <c r="D5684" t="str">
        <f t="shared" si="214"/>
        <v>563854</v>
      </c>
      <c r="E5684" t="s">
        <v>5981</v>
      </c>
      <c r="F5684" t="s">
        <v>9</v>
      </c>
    </row>
    <row r="5685" spans="1:6" x14ac:dyDescent="0.25">
      <c r="A5685" t="str">
        <f>"71178406"</f>
        <v>71178406</v>
      </c>
      <c r="B5685" t="s">
        <v>5989</v>
      </c>
      <c r="C5685" t="s">
        <v>37</v>
      </c>
      <c r="D5685" t="str">
        <f t="shared" ref="D5685:D5690" si="215">"545996"</f>
        <v>545996</v>
      </c>
      <c r="E5685" t="s">
        <v>5990</v>
      </c>
      <c r="F5685" t="s">
        <v>38</v>
      </c>
    </row>
    <row r="5686" spans="1:6" x14ac:dyDescent="0.25">
      <c r="A5686" t="str">
        <f>"04831438"</f>
        <v>04831438</v>
      </c>
      <c r="B5686" t="s">
        <v>5991</v>
      </c>
      <c r="C5686" t="s">
        <v>7</v>
      </c>
      <c r="D5686" t="str">
        <f t="shared" si="215"/>
        <v>545996</v>
      </c>
      <c r="E5686" t="s">
        <v>5990</v>
      </c>
      <c r="F5686" t="s">
        <v>35</v>
      </c>
    </row>
    <row r="5687" spans="1:6" x14ac:dyDescent="0.25">
      <c r="A5687" t="str">
        <f>"46745947"</f>
        <v>46745947</v>
      </c>
      <c r="B5687" t="s">
        <v>5992</v>
      </c>
      <c r="C5687" t="s">
        <v>7</v>
      </c>
      <c r="D5687" t="str">
        <f t="shared" si="215"/>
        <v>545996</v>
      </c>
      <c r="E5687" t="s">
        <v>5990</v>
      </c>
      <c r="F5687" t="s">
        <v>38</v>
      </c>
    </row>
    <row r="5688" spans="1:6" x14ac:dyDescent="0.25">
      <c r="A5688" t="str">
        <f>"70977003"</f>
        <v>70977003</v>
      </c>
      <c r="B5688" t="s">
        <v>5993</v>
      </c>
      <c r="C5688" t="s">
        <v>7</v>
      </c>
      <c r="D5688" t="str">
        <f t="shared" si="215"/>
        <v>545996</v>
      </c>
      <c r="E5688" t="s">
        <v>5990</v>
      </c>
      <c r="F5688" t="s">
        <v>11</v>
      </c>
    </row>
    <row r="5689" spans="1:6" x14ac:dyDescent="0.25">
      <c r="A5689" t="str">
        <f>"64040780"</f>
        <v>64040780</v>
      </c>
      <c r="B5689" t="s">
        <v>5994</v>
      </c>
      <c r="C5689" t="s">
        <v>15</v>
      </c>
      <c r="D5689" t="str">
        <f t="shared" si="215"/>
        <v>545996</v>
      </c>
      <c r="E5689" t="s">
        <v>5990</v>
      </c>
      <c r="F5689" t="s">
        <v>16</v>
      </c>
    </row>
    <row r="5690" spans="1:6" x14ac:dyDescent="0.25">
      <c r="A5690" t="str">
        <f>"46746633"</f>
        <v>46746633</v>
      </c>
      <c r="B5690" t="s">
        <v>5995</v>
      </c>
      <c r="C5690" t="s">
        <v>7</v>
      </c>
      <c r="D5690" t="str">
        <f t="shared" si="215"/>
        <v>545996</v>
      </c>
      <c r="E5690" t="s">
        <v>5990</v>
      </c>
      <c r="F5690" t="s">
        <v>35</v>
      </c>
    </row>
    <row r="5691" spans="1:6" x14ac:dyDescent="0.25">
      <c r="A5691" t="str">
        <f>"22842080"</f>
        <v>22842080</v>
      </c>
      <c r="B5691" t="s">
        <v>5996</v>
      </c>
      <c r="C5691" t="s">
        <v>7</v>
      </c>
      <c r="D5691" t="str">
        <f t="shared" ref="D5691:D5754" si="216">"561380"</f>
        <v>561380</v>
      </c>
      <c r="E5691" t="s">
        <v>5997</v>
      </c>
      <c r="F5691" t="s">
        <v>62</v>
      </c>
    </row>
    <row r="5692" spans="1:6" x14ac:dyDescent="0.25">
      <c r="A5692" t="str">
        <f>"26637987"</f>
        <v>26637987</v>
      </c>
      <c r="B5692" t="s">
        <v>5998</v>
      </c>
      <c r="C5692" t="s">
        <v>7</v>
      </c>
      <c r="D5692" t="str">
        <f t="shared" si="216"/>
        <v>561380</v>
      </c>
      <c r="E5692" t="s">
        <v>5997</v>
      </c>
      <c r="F5692" t="s">
        <v>11</v>
      </c>
    </row>
    <row r="5693" spans="1:6" x14ac:dyDescent="0.25">
      <c r="A5693" t="str">
        <f>"26667681"</f>
        <v>26667681</v>
      </c>
      <c r="B5693" t="s">
        <v>5999</v>
      </c>
      <c r="C5693" t="s">
        <v>7</v>
      </c>
      <c r="D5693" t="str">
        <f t="shared" si="216"/>
        <v>561380</v>
      </c>
      <c r="E5693" t="s">
        <v>5997</v>
      </c>
      <c r="F5693" t="s">
        <v>9</v>
      </c>
    </row>
    <row r="5694" spans="1:6" x14ac:dyDescent="0.25">
      <c r="A5694" t="str">
        <f>"46750231"</f>
        <v>46750231</v>
      </c>
      <c r="B5694" t="s">
        <v>6000</v>
      </c>
      <c r="C5694" t="s">
        <v>7</v>
      </c>
      <c r="D5694" t="str">
        <f t="shared" si="216"/>
        <v>561380</v>
      </c>
      <c r="E5694" t="s">
        <v>5997</v>
      </c>
      <c r="F5694" t="s">
        <v>9</v>
      </c>
    </row>
    <row r="5695" spans="1:6" x14ac:dyDescent="0.25">
      <c r="A5695" t="str">
        <f>"46750240"</f>
        <v>46750240</v>
      </c>
      <c r="B5695" t="s">
        <v>6001</v>
      </c>
      <c r="C5695" t="s">
        <v>7</v>
      </c>
      <c r="D5695" t="str">
        <f t="shared" si="216"/>
        <v>561380</v>
      </c>
      <c r="E5695" t="s">
        <v>5997</v>
      </c>
      <c r="F5695" t="s">
        <v>9</v>
      </c>
    </row>
    <row r="5696" spans="1:6" x14ac:dyDescent="0.25">
      <c r="A5696" t="str">
        <f>"05732638"</f>
        <v>05732638</v>
      </c>
      <c r="B5696" t="s">
        <v>6002</v>
      </c>
      <c r="C5696" t="s">
        <v>7</v>
      </c>
      <c r="D5696" t="str">
        <f t="shared" si="216"/>
        <v>561380</v>
      </c>
      <c r="E5696" t="s">
        <v>5997</v>
      </c>
      <c r="F5696" t="s">
        <v>62</v>
      </c>
    </row>
    <row r="5697" spans="1:6" x14ac:dyDescent="0.25">
      <c r="A5697" t="str">
        <f>"26570581"</f>
        <v>26570581</v>
      </c>
      <c r="B5697" t="s">
        <v>6003</v>
      </c>
      <c r="C5697" t="s">
        <v>7</v>
      </c>
      <c r="D5697" t="str">
        <f t="shared" si="216"/>
        <v>561380</v>
      </c>
      <c r="E5697" t="s">
        <v>5997</v>
      </c>
      <c r="F5697" t="s">
        <v>11</v>
      </c>
    </row>
    <row r="5698" spans="1:6" x14ac:dyDescent="0.25">
      <c r="A5698" t="str">
        <f>"27966119"</f>
        <v>27966119</v>
      </c>
      <c r="B5698" t="s">
        <v>6004</v>
      </c>
      <c r="C5698" t="s">
        <v>78</v>
      </c>
      <c r="D5698" t="str">
        <f t="shared" si="216"/>
        <v>561380</v>
      </c>
      <c r="E5698" t="s">
        <v>5997</v>
      </c>
      <c r="F5698" t="s">
        <v>865</v>
      </c>
    </row>
    <row r="5699" spans="1:6" x14ac:dyDescent="0.25">
      <c r="A5699" t="str">
        <f>"22303839"</f>
        <v>22303839</v>
      </c>
      <c r="B5699" t="s">
        <v>6005</v>
      </c>
      <c r="C5699" t="s">
        <v>7</v>
      </c>
      <c r="D5699" t="str">
        <f t="shared" si="216"/>
        <v>561380</v>
      </c>
      <c r="E5699" t="s">
        <v>5997</v>
      </c>
      <c r="F5699" t="s">
        <v>62</v>
      </c>
    </row>
    <row r="5700" spans="1:6" x14ac:dyDescent="0.25">
      <c r="A5700" t="str">
        <f>"70820503"</f>
        <v>70820503</v>
      </c>
      <c r="B5700" t="s">
        <v>6006</v>
      </c>
      <c r="C5700" t="s">
        <v>7</v>
      </c>
      <c r="D5700" t="str">
        <f t="shared" si="216"/>
        <v>561380</v>
      </c>
      <c r="E5700" t="s">
        <v>5997</v>
      </c>
      <c r="F5700" t="s">
        <v>11</v>
      </c>
    </row>
    <row r="5701" spans="1:6" x14ac:dyDescent="0.25">
      <c r="A5701" t="str">
        <f>"02492547"</f>
        <v>02492547</v>
      </c>
      <c r="B5701" t="s">
        <v>6007</v>
      </c>
      <c r="C5701" t="s">
        <v>7</v>
      </c>
      <c r="D5701" t="str">
        <f t="shared" si="216"/>
        <v>561380</v>
      </c>
      <c r="E5701" t="s">
        <v>5997</v>
      </c>
      <c r="F5701" t="s">
        <v>389</v>
      </c>
    </row>
    <row r="5702" spans="1:6" x14ac:dyDescent="0.25">
      <c r="A5702" t="str">
        <f>"02471329"</f>
        <v>02471329</v>
      </c>
      <c r="B5702" t="s">
        <v>6008</v>
      </c>
      <c r="C5702" t="s">
        <v>7</v>
      </c>
      <c r="D5702" t="str">
        <f t="shared" si="216"/>
        <v>561380</v>
      </c>
      <c r="E5702" t="s">
        <v>5997</v>
      </c>
      <c r="F5702" t="s">
        <v>11</v>
      </c>
    </row>
    <row r="5703" spans="1:6" x14ac:dyDescent="0.25">
      <c r="A5703" t="str">
        <f>"02445701"</f>
        <v>02445701</v>
      </c>
      <c r="B5703" t="s">
        <v>6009</v>
      </c>
      <c r="C5703" t="s">
        <v>7</v>
      </c>
      <c r="D5703" t="str">
        <f t="shared" si="216"/>
        <v>561380</v>
      </c>
      <c r="E5703" t="s">
        <v>5997</v>
      </c>
      <c r="F5703" t="s">
        <v>11</v>
      </c>
    </row>
    <row r="5704" spans="1:6" x14ac:dyDescent="0.25">
      <c r="A5704" t="str">
        <f>"71193472"</f>
        <v>71193472</v>
      </c>
      <c r="B5704" t="s">
        <v>6010</v>
      </c>
      <c r="C5704" t="s">
        <v>15</v>
      </c>
      <c r="D5704" t="str">
        <f t="shared" si="216"/>
        <v>561380</v>
      </c>
      <c r="E5704" t="s">
        <v>5997</v>
      </c>
      <c r="F5704" t="s">
        <v>139</v>
      </c>
    </row>
    <row r="5705" spans="1:6" x14ac:dyDescent="0.25">
      <c r="A5705" t="str">
        <f>"75050005"</f>
        <v>75050005</v>
      </c>
      <c r="B5705" t="s">
        <v>6011</v>
      </c>
      <c r="C5705" t="s">
        <v>15</v>
      </c>
      <c r="D5705" t="str">
        <f t="shared" si="216"/>
        <v>561380</v>
      </c>
      <c r="E5705" t="s">
        <v>5997</v>
      </c>
      <c r="F5705" t="s">
        <v>139</v>
      </c>
    </row>
    <row r="5706" spans="1:6" x14ac:dyDescent="0.25">
      <c r="A5706" t="str">
        <f>"70912351"</f>
        <v>70912351</v>
      </c>
      <c r="B5706" t="s">
        <v>6012</v>
      </c>
      <c r="C5706" t="s">
        <v>15</v>
      </c>
      <c r="D5706" t="str">
        <f t="shared" si="216"/>
        <v>561380</v>
      </c>
      <c r="E5706" t="s">
        <v>5997</v>
      </c>
      <c r="F5706" t="s">
        <v>139</v>
      </c>
    </row>
    <row r="5707" spans="1:6" x14ac:dyDescent="0.25">
      <c r="A5707" t="str">
        <f>"02760070"</f>
        <v>02760070</v>
      </c>
      <c r="B5707" t="s">
        <v>6013</v>
      </c>
      <c r="C5707" t="s">
        <v>7</v>
      </c>
      <c r="D5707" t="str">
        <f t="shared" si="216"/>
        <v>561380</v>
      </c>
      <c r="E5707" t="s">
        <v>5997</v>
      </c>
      <c r="F5707" t="s">
        <v>11</v>
      </c>
    </row>
    <row r="5708" spans="1:6" x14ac:dyDescent="0.25">
      <c r="A5708" t="str">
        <f>"48282987"</f>
        <v>48282987</v>
      </c>
      <c r="B5708" t="s">
        <v>6014</v>
      </c>
      <c r="C5708" t="s">
        <v>7</v>
      </c>
      <c r="D5708" t="str">
        <f t="shared" si="216"/>
        <v>561380</v>
      </c>
      <c r="E5708" t="s">
        <v>5997</v>
      </c>
      <c r="F5708" t="s">
        <v>9</v>
      </c>
    </row>
    <row r="5709" spans="1:6" x14ac:dyDescent="0.25">
      <c r="A5709" t="str">
        <f>"00524808"</f>
        <v>00524808</v>
      </c>
      <c r="B5709" t="s">
        <v>6015</v>
      </c>
      <c r="C5709" t="s">
        <v>15</v>
      </c>
      <c r="D5709" t="str">
        <f t="shared" si="216"/>
        <v>561380</v>
      </c>
      <c r="E5709" t="s">
        <v>5997</v>
      </c>
      <c r="F5709" t="s">
        <v>11</v>
      </c>
    </row>
    <row r="5710" spans="1:6" x14ac:dyDescent="0.25">
      <c r="A5710" t="str">
        <f>"26985047"</f>
        <v>26985047</v>
      </c>
      <c r="B5710" t="s">
        <v>6016</v>
      </c>
      <c r="C5710" t="s">
        <v>7</v>
      </c>
      <c r="D5710" t="str">
        <f t="shared" si="216"/>
        <v>561380</v>
      </c>
      <c r="E5710" t="s">
        <v>5997</v>
      </c>
      <c r="F5710" t="s">
        <v>11</v>
      </c>
    </row>
    <row r="5711" spans="1:6" x14ac:dyDescent="0.25">
      <c r="A5711" t="str">
        <f>"49864271"</f>
        <v>49864271</v>
      </c>
      <c r="B5711" t="s">
        <v>6017</v>
      </c>
      <c r="C5711" t="s">
        <v>15</v>
      </c>
      <c r="D5711" t="str">
        <f t="shared" si="216"/>
        <v>561380</v>
      </c>
      <c r="E5711" t="s">
        <v>5997</v>
      </c>
      <c r="F5711" t="s">
        <v>11</v>
      </c>
    </row>
    <row r="5712" spans="1:6" x14ac:dyDescent="0.25">
      <c r="A5712" t="str">
        <f>"00524689"</f>
        <v>00524689</v>
      </c>
      <c r="B5712" t="s">
        <v>6018</v>
      </c>
      <c r="C5712" t="s">
        <v>15</v>
      </c>
      <c r="D5712" t="str">
        <f t="shared" si="216"/>
        <v>561380</v>
      </c>
      <c r="E5712" t="s">
        <v>5997</v>
      </c>
      <c r="F5712" t="s">
        <v>29</v>
      </c>
    </row>
    <row r="5713" spans="1:6" x14ac:dyDescent="0.25">
      <c r="A5713" t="str">
        <f>"63778041"</f>
        <v>63778041</v>
      </c>
      <c r="B5713" t="s">
        <v>6019</v>
      </c>
      <c r="C5713" t="s">
        <v>7</v>
      </c>
      <c r="D5713" t="str">
        <f t="shared" si="216"/>
        <v>561380</v>
      </c>
      <c r="E5713" t="s">
        <v>5997</v>
      </c>
      <c r="F5713" t="s">
        <v>29</v>
      </c>
    </row>
    <row r="5714" spans="1:6" x14ac:dyDescent="0.25">
      <c r="A5714" t="str">
        <f>"08088349"</f>
        <v>08088349</v>
      </c>
      <c r="B5714" t="s">
        <v>6020</v>
      </c>
      <c r="C5714" t="s">
        <v>27</v>
      </c>
      <c r="D5714" t="str">
        <f t="shared" si="216"/>
        <v>561380</v>
      </c>
      <c r="E5714" t="s">
        <v>5997</v>
      </c>
      <c r="F5714" t="s">
        <v>11</v>
      </c>
    </row>
    <row r="5715" spans="1:6" x14ac:dyDescent="0.25">
      <c r="A5715" t="str">
        <f>"02121638"</f>
        <v>02121638</v>
      </c>
      <c r="B5715" t="s">
        <v>6021</v>
      </c>
      <c r="C5715" t="s">
        <v>7</v>
      </c>
      <c r="D5715" t="str">
        <f t="shared" si="216"/>
        <v>561380</v>
      </c>
      <c r="E5715" t="s">
        <v>5997</v>
      </c>
      <c r="F5715" t="s">
        <v>11</v>
      </c>
    </row>
    <row r="5716" spans="1:6" x14ac:dyDescent="0.25">
      <c r="A5716" t="str">
        <f>"48282821"</f>
        <v>48282821</v>
      </c>
      <c r="B5716" t="s">
        <v>6022</v>
      </c>
      <c r="C5716" t="s">
        <v>7</v>
      </c>
      <c r="D5716" t="str">
        <f t="shared" si="216"/>
        <v>561380</v>
      </c>
      <c r="E5716" t="s">
        <v>5997</v>
      </c>
      <c r="F5716" t="s">
        <v>9</v>
      </c>
    </row>
    <row r="5717" spans="1:6" x14ac:dyDescent="0.25">
      <c r="A5717" t="str">
        <f>"26638762"</f>
        <v>26638762</v>
      </c>
      <c r="B5717" t="s">
        <v>6023</v>
      </c>
      <c r="C5717" t="s">
        <v>7</v>
      </c>
      <c r="D5717" t="str">
        <f t="shared" si="216"/>
        <v>561380</v>
      </c>
      <c r="E5717" t="s">
        <v>5997</v>
      </c>
      <c r="F5717" t="s">
        <v>11</v>
      </c>
    </row>
    <row r="5718" spans="1:6" x14ac:dyDescent="0.25">
      <c r="A5718" t="str">
        <f>"22734180"</f>
        <v>22734180</v>
      </c>
      <c r="B5718" t="s">
        <v>6024</v>
      </c>
      <c r="C5718" t="s">
        <v>7</v>
      </c>
      <c r="D5718" t="str">
        <f t="shared" si="216"/>
        <v>561380</v>
      </c>
      <c r="E5718" t="s">
        <v>5997</v>
      </c>
      <c r="F5718" t="s">
        <v>11</v>
      </c>
    </row>
    <row r="5719" spans="1:6" x14ac:dyDescent="0.25">
      <c r="A5719" t="str">
        <f>"17704863"</f>
        <v>17704863</v>
      </c>
      <c r="B5719" t="s">
        <v>6025</v>
      </c>
      <c r="C5719" t="s">
        <v>7</v>
      </c>
      <c r="D5719" t="str">
        <f t="shared" si="216"/>
        <v>561380</v>
      </c>
      <c r="E5719" t="s">
        <v>5997</v>
      </c>
      <c r="F5719" t="s">
        <v>29</v>
      </c>
    </row>
    <row r="5720" spans="1:6" x14ac:dyDescent="0.25">
      <c r="A5720" t="str">
        <f>"22733469"</f>
        <v>22733469</v>
      </c>
      <c r="B5720" t="s">
        <v>6026</v>
      </c>
      <c r="C5720" t="s">
        <v>7</v>
      </c>
      <c r="D5720" t="str">
        <f t="shared" si="216"/>
        <v>561380</v>
      </c>
      <c r="E5720" t="s">
        <v>5997</v>
      </c>
      <c r="F5720" t="s">
        <v>9</v>
      </c>
    </row>
    <row r="5721" spans="1:6" x14ac:dyDescent="0.25">
      <c r="A5721" t="str">
        <f>"02483190"</f>
        <v>02483190</v>
      </c>
      <c r="B5721" t="s">
        <v>6027</v>
      </c>
      <c r="C5721" t="s">
        <v>7</v>
      </c>
      <c r="D5721" t="str">
        <f t="shared" si="216"/>
        <v>561380</v>
      </c>
      <c r="E5721" t="s">
        <v>5997</v>
      </c>
      <c r="F5721" t="s">
        <v>11</v>
      </c>
    </row>
    <row r="5722" spans="1:6" x14ac:dyDescent="0.25">
      <c r="A5722" t="str">
        <f>"06200095"</f>
        <v>06200095</v>
      </c>
      <c r="B5722" t="s">
        <v>6028</v>
      </c>
      <c r="C5722" t="s">
        <v>7</v>
      </c>
      <c r="D5722" t="str">
        <f t="shared" si="216"/>
        <v>561380</v>
      </c>
      <c r="E5722" t="s">
        <v>5997</v>
      </c>
      <c r="F5722" t="s">
        <v>2331</v>
      </c>
    </row>
    <row r="5723" spans="1:6" x14ac:dyDescent="0.25">
      <c r="A5723" t="str">
        <f>"22863630"</f>
        <v>22863630</v>
      </c>
      <c r="B5723" t="s">
        <v>6029</v>
      </c>
      <c r="C5723" t="s">
        <v>7</v>
      </c>
      <c r="D5723" t="str">
        <f t="shared" si="216"/>
        <v>561380</v>
      </c>
      <c r="E5723" t="s">
        <v>5997</v>
      </c>
      <c r="F5723" t="s">
        <v>11</v>
      </c>
    </row>
    <row r="5724" spans="1:6" x14ac:dyDescent="0.25">
      <c r="A5724" t="str">
        <f>"02031655"</f>
        <v>02031655</v>
      </c>
      <c r="B5724" t="s">
        <v>6030</v>
      </c>
      <c r="C5724" t="s">
        <v>7</v>
      </c>
      <c r="D5724" t="str">
        <f t="shared" si="216"/>
        <v>561380</v>
      </c>
      <c r="E5724" t="s">
        <v>5997</v>
      </c>
      <c r="F5724" t="s">
        <v>389</v>
      </c>
    </row>
    <row r="5725" spans="1:6" x14ac:dyDescent="0.25">
      <c r="A5725" t="str">
        <f>"26984865"</f>
        <v>26984865</v>
      </c>
      <c r="B5725" t="s">
        <v>6031</v>
      </c>
      <c r="C5725" t="s">
        <v>7</v>
      </c>
      <c r="D5725" t="str">
        <f t="shared" si="216"/>
        <v>561380</v>
      </c>
      <c r="E5725" t="s">
        <v>5997</v>
      </c>
      <c r="F5725" t="s">
        <v>11</v>
      </c>
    </row>
    <row r="5726" spans="1:6" x14ac:dyDescent="0.25">
      <c r="A5726" t="str">
        <f>"22715754"</f>
        <v>22715754</v>
      </c>
      <c r="B5726" t="s">
        <v>6032</v>
      </c>
      <c r="C5726" t="s">
        <v>7</v>
      </c>
      <c r="D5726" t="str">
        <f t="shared" si="216"/>
        <v>561380</v>
      </c>
      <c r="E5726" t="s">
        <v>5997</v>
      </c>
      <c r="F5726" t="s">
        <v>11</v>
      </c>
    </row>
    <row r="5727" spans="1:6" x14ac:dyDescent="0.25">
      <c r="A5727" t="str">
        <f>"70226148"</f>
        <v>70226148</v>
      </c>
      <c r="B5727" t="s">
        <v>6033</v>
      </c>
      <c r="C5727" t="s">
        <v>43</v>
      </c>
      <c r="D5727" t="str">
        <f t="shared" si="216"/>
        <v>561380</v>
      </c>
      <c r="E5727" t="s">
        <v>5997</v>
      </c>
      <c r="F5727" t="s">
        <v>44</v>
      </c>
    </row>
    <row r="5728" spans="1:6" x14ac:dyDescent="0.25">
      <c r="A5728" t="str">
        <f>"26570441"</f>
        <v>26570441</v>
      </c>
      <c r="B5728" t="s">
        <v>6034</v>
      </c>
      <c r="C5728" t="s">
        <v>7</v>
      </c>
      <c r="D5728" t="str">
        <f t="shared" si="216"/>
        <v>561380</v>
      </c>
      <c r="E5728" t="s">
        <v>5997</v>
      </c>
      <c r="F5728" t="s">
        <v>11</v>
      </c>
    </row>
    <row r="5729" spans="1:6" x14ac:dyDescent="0.25">
      <c r="A5729" t="str">
        <f>"28557581"</f>
        <v>28557581</v>
      </c>
      <c r="B5729" t="s">
        <v>6035</v>
      </c>
      <c r="C5729" t="s">
        <v>7</v>
      </c>
      <c r="D5729" t="str">
        <f t="shared" si="216"/>
        <v>561380</v>
      </c>
      <c r="E5729" t="s">
        <v>5997</v>
      </c>
      <c r="F5729" t="s">
        <v>35</v>
      </c>
    </row>
    <row r="5730" spans="1:6" x14ac:dyDescent="0.25">
      <c r="A5730" t="str">
        <f>"08911860"</f>
        <v>08911860</v>
      </c>
      <c r="B5730" t="s">
        <v>6036</v>
      </c>
      <c r="C5730" t="s">
        <v>7</v>
      </c>
      <c r="D5730" t="str">
        <f t="shared" si="216"/>
        <v>561380</v>
      </c>
      <c r="E5730" t="s">
        <v>5997</v>
      </c>
      <c r="F5730" t="s">
        <v>62</v>
      </c>
    </row>
    <row r="5731" spans="1:6" x14ac:dyDescent="0.25">
      <c r="A5731" t="str">
        <f>"07929145"</f>
        <v>07929145</v>
      </c>
      <c r="B5731" t="s">
        <v>6037</v>
      </c>
      <c r="C5731" t="s">
        <v>7</v>
      </c>
      <c r="D5731" t="str">
        <f t="shared" si="216"/>
        <v>561380</v>
      </c>
      <c r="E5731" t="s">
        <v>5997</v>
      </c>
      <c r="F5731" t="s">
        <v>11</v>
      </c>
    </row>
    <row r="5732" spans="1:6" x14ac:dyDescent="0.25">
      <c r="A5732" t="str">
        <f>"26664941"</f>
        <v>26664941</v>
      </c>
      <c r="B5732" t="s">
        <v>6038</v>
      </c>
      <c r="C5732" t="s">
        <v>7</v>
      </c>
      <c r="D5732" t="str">
        <f t="shared" si="216"/>
        <v>561380</v>
      </c>
      <c r="E5732" t="s">
        <v>5997</v>
      </c>
      <c r="F5732" t="s">
        <v>9</v>
      </c>
    </row>
    <row r="5733" spans="1:6" x14ac:dyDescent="0.25">
      <c r="A5733" t="str">
        <f>"26551594"</f>
        <v>26551594</v>
      </c>
      <c r="B5733" t="s">
        <v>6039</v>
      </c>
      <c r="C5733" t="s">
        <v>7</v>
      </c>
      <c r="D5733" t="str">
        <f t="shared" si="216"/>
        <v>561380</v>
      </c>
      <c r="E5733" t="s">
        <v>5997</v>
      </c>
      <c r="F5733" t="s">
        <v>11</v>
      </c>
    </row>
    <row r="5734" spans="1:6" x14ac:dyDescent="0.25">
      <c r="A5734" t="str">
        <f>"46750576"</f>
        <v>46750576</v>
      </c>
      <c r="B5734" t="s">
        <v>6040</v>
      </c>
      <c r="C5734" t="s">
        <v>1134</v>
      </c>
      <c r="D5734" t="str">
        <f t="shared" si="216"/>
        <v>561380</v>
      </c>
      <c r="E5734" t="s">
        <v>5997</v>
      </c>
      <c r="F5734" t="s">
        <v>389</v>
      </c>
    </row>
    <row r="5735" spans="1:6" x14ac:dyDescent="0.25">
      <c r="A5735" t="str">
        <f>"22688218"</f>
        <v>22688218</v>
      </c>
      <c r="B5735" t="s">
        <v>6041</v>
      </c>
      <c r="C5735" t="s">
        <v>7</v>
      </c>
      <c r="D5735" t="str">
        <f t="shared" si="216"/>
        <v>561380</v>
      </c>
      <c r="E5735" t="s">
        <v>5997</v>
      </c>
      <c r="F5735" t="s">
        <v>389</v>
      </c>
    </row>
    <row r="5736" spans="1:6" x14ac:dyDescent="0.25">
      <c r="A5736" t="str">
        <f>"46750347"</f>
        <v>46750347</v>
      </c>
      <c r="B5736" t="s">
        <v>6042</v>
      </c>
      <c r="C5736" t="s">
        <v>15</v>
      </c>
      <c r="D5736" t="str">
        <f t="shared" si="216"/>
        <v>561380</v>
      </c>
      <c r="E5736" t="s">
        <v>5997</v>
      </c>
      <c r="F5736" t="s">
        <v>29</v>
      </c>
    </row>
    <row r="5737" spans="1:6" x14ac:dyDescent="0.25">
      <c r="A5737" t="str">
        <f>"62237781"</f>
        <v>62237781</v>
      </c>
      <c r="B5737" t="s">
        <v>6043</v>
      </c>
      <c r="C5737" t="s">
        <v>7</v>
      </c>
      <c r="D5737" t="str">
        <f t="shared" si="216"/>
        <v>561380</v>
      </c>
      <c r="E5737" t="s">
        <v>5997</v>
      </c>
      <c r="F5737" t="s">
        <v>11</v>
      </c>
    </row>
    <row r="5738" spans="1:6" x14ac:dyDescent="0.25">
      <c r="A5738" t="str">
        <f>"70200343"</f>
        <v>70200343</v>
      </c>
      <c r="B5738" t="s">
        <v>6044</v>
      </c>
      <c r="C5738" t="s">
        <v>7</v>
      </c>
      <c r="D5738" t="str">
        <f t="shared" si="216"/>
        <v>561380</v>
      </c>
      <c r="E5738" t="s">
        <v>5997</v>
      </c>
      <c r="F5738" t="s">
        <v>65</v>
      </c>
    </row>
    <row r="5739" spans="1:6" x14ac:dyDescent="0.25">
      <c r="A5739" t="str">
        <f>"02492377"</f>
        <v>02492377</v>
      </c>
      <c r="B5739" t="s">
        <v>6045</v>
      </c>
      <c r="C5739" t="s">
        <v>7</v>
      </c>
      <c r="D5739" t="str">
        <f t="shared" si="216"/>
        <v>561380</v>
      </c>
      <c r="E5739" t="s">
        <v>5997</v>
      </c>
      <c r="F5739" t="s">
        <v>62</v>
      </c>
    </row>
    <row r="5740" spans="1:6" x14ac:dyDescent="0.25">
      <c r="A5740" t="str">
        <f>"62237691"</f>
        <v>62237691</v>
      </c>
      <c r="B5740" t="s">
        <v>6046</v>
      </c>
      <c r="C5740" t="s">
        <v>7</v>
      </c>
      <c r="D5740" t="str">
        <f t="shared" si="216"/>
        <v>561380</v>
      </c>
      <c r="E5740" t="s">
        <v>5997</v>
      </c>
      <c r="F5740" t="s">
        <v>11</v>
      </c>
    </row>
    <row r="5741" spans="1:6" x14ac:dyDescent="0.25">
      <c r="A5741" t="str">
        <f>"26616904"</f>
        <v>26616904</v>
      </c>
      <c r="B5741" t="s">
        <v>6047</v>
      </c>
      <c r="C5741" t="s">
        <v>7</v>
      </c>
      <c r="D5741" t="str">
        <f t="shared" si="216"/>
        <v>561380</v>
      </c>
      <c r="E5741" t="s">
        <v>5997</v>
      </c>
      <c r="F5741" t="s">
        <v>11</v>
      </c>
    </row>
    <row r="5742" spans="1:6" x14ac:dyDescent="0.25">
      <c r="A5742" t="str">
        <f>"62237101"</f>
        <v>62237101</v>
      </c>
      <c r="B5742" t="s">
        <v>6048</v>
      </c>
      <c r="C5742" t="s">
        <v>7</v>
      </c>
      <c r="D5742" t="str">
        <f t="shared" si="216"/>
        <v>561380</v>
      </c>
      <c r="E5742" t="s">
        <v>5997</v>
      </c>
      <c r="F5742" t="s">
        <v>379</v>
      </c>
    </row>
    <row r="5743" spans="1:6" x14ac:dyDescent="0.25">
      <c r="A5743" t="str">
        <f>"65650476"</f>
        <v>65650476</v>
      </c>
      <c r="B5743" t="s">
        <v>6049</v>
      </c>
      <c r="C5743" t="s">
        <v>7</v>
      </c>
      <c r="D5743" t="str">
        <f t="shared" si="216"/>
        <v>561380</v>
      </c>
      <c r="E5743" t="s">
        <v>5997</v>
      </c>
      <c r="F5743" t="s">
        <v>11</v>
      </c>
    </row>
    <row r="5744" spans="1:6" x14ac:dyDescent="0.25">
      <c r="A5744" t="str">
        <f>"06180043"</f>
        <v>06180043</v>
      </c>
      <c r="B5744" t="s">
        <v>6050</v>
      </c>
      <c r="C5744" t="s">
        <v>7</v>
      </c>
      <c r="D5744" t="str">
        <f t="shared" si="216"/>
        <v>561380</v>
      </c>
      <c r="E5744" t="s">
        <v>5997</v>
      </c>
      <c r="F5744" t="s">
        <v>62</v>
      </c>
    </row>
    <row r="5745" spans="1:6" x14ac:dyDescent="0.25">
      <c r="A5745" t="str">
        <f>"04747640"</f>
        <v>04747640</v>
      </c>
      <c r="B5745" t="s">
        <v>6051</v>
      </c>
      <c r="C5745" t="s">
        <v>7</v>
      </c>
      <c r="D5745" t="str">
        <f t="shared" si="216"/>
        <v>561380</v>
      </c>
      <c r="E5745" t="s">
        <v>5997</v>
      </c>
      <c r="F5745" t="s">
        <v>29</v>
      </c>
    </row>
    <row r="5746" spans="1:6" x14ac:dyDescent="0.25">
      <c r="A5746" t="str">
        <f>"67777082"</f>
        <v>67777082</v>
      </c>
      <c r="B5746" t="s">
        <v>6052</v>
      </c>
      <c r="C5746" t="s">
        <v>15</v>
      </c>
      <c r="D5746" t="str">
        <f t="shared" si="216"/>
        <v>561380</v>
      </c>
      <c r="E5746" t="s">
        <v>5997</v>
      </c>
      <c r="F5746" t="s">
        <v>38</v>
      </c>
    </row>
    <row r="5747" spans="1:6" x14ac:dyDescent="0.25">
      <c r="A5747" t="str">
        <f>"07844611"</f>
        <v>07844611</v>
      </c>
      <c r="B5747" t="s">
        <v>6053</v>
      </c>
      <c r="C5747" t="s">
        <v>7</v>
      </c>
      <c r="D5747" t="str">
        <f t="shared" si="216"/>
        <v>561380</v>
      </c>
      <c r="E5747" t="s">
        <v>5997</v>
      </c>
      <c r="F5747" t="s">
        <v>11</v>
      </c>
    </row>
    <row r="5748" spans="1:6" x14ac:dyDescent="0.25">
      <c r="A5748" t="str">
        <f>"62237233"</f>
        <v>62237233</v>
      </c>
      <c r="B5748" t="s">
        <v>6054</v>
      </c>
      <c r="C5748" t="s">
        <v>15</v>
      </c>
      <c r="D5748" t="str">
        <f t="shared" si="216"/>
        <v>561380</v>
      </c>
      <c r="E5748" t="s">
        <v>5997</v>
      </c>
      <c r="F5748" t="s">
        <v>29</v>
      </c>
    </row>
    <row r="5749" spans="1:6" x14ac:dyDescent="0.25">
      <c r="A5749" t="str">
        <f>"62237314"</f>
        <v>62237314</v>
      </c>
      <c r="B5749" t="s">
        <v>6055</v>
      </c>
      <c r="C5749" t="s">
        <v>15</v>
      </c>
      <c r="D5749" t="str">
        <f t="shared" si="216"/>
        <v>561380</v>
      </c>
      <c r="E5749" t="s">
        <v>5997</v>
      </c>
      <c r="F5749" t="s">
        <v>29</v>
      </c>
    </row>
    <row r="5750" spans="1:6" x14ac:dyDescent="0.25">
      <c r="A5750" t="str">
        <f>"00482471"</f>
        <v>00482471</v>
      </c>
      <c r="B5750" t="s">
        <v>6056</v>
      </c>
      <c r="C5750" t="s">
        <v>15</v>
      </c>
      <c r="D5750" t="str">
        <f t="shared" si="216"/>
        <v>561380</v>
      </c>
      <c r="E5750" t="s">
        <v>5997</v>
      </c>
      <c r="F5750" t="s">
        <v>29</v>
      </c>
    </row>
    <row r="5751" spans="1:6" x14ac:dyDescent="0.25">
      <c r="A5751" t="str">
        <f>"00448460"</f>
        <v>00448460</v>
      </c>
      <c r="B5751" t="s">
        <v>6057</v>
      </c>
      <c r="C5751" t="s">
        <v>15</v>
      </c>
      <c r="D5751" t="str">
        <f t="shared" si="216"/>
        <v>561380</v>
      </c>
      <c r="E5751" t="s">
        <v>5997</v>
      </c>
      <c r="F5751" t="s">
        <v>29</v>
      </c>
    </row>
    <row r="5752" spans="1:6" x14ac:dyDescent="0.25">
      <c r="A5752" t="str">
        <f>"70854777"</f>
        <v>70854777</v>
      </c>
      <c r="B5752" t="s">
        <v>6058</v>
      </c>
      <c r="C5752" t="s">
        <v>15</v>
      </c>
      <c r="D5752" t="str">
        <f t="shared" si="216"/>
        <v>561380</v>
      </c>
      <c r="E5752" t="s">
        <v>5997</v>
      </c>
      <c r="F5752" t="s">
        <v>29</v>
      </c>
    </row>
    <row r="5753" spans="1:6" x14ac:dyDescent="0.25">
      <c r="A5753" t="str">
        <f>"26515814"</f>
        <v>26515814</v>
      </c>
      <c r="B5753" t="s">
        <v>6059</v>
      </c>
      <c r="C5753" t="s">
        <v>7</v>
      </c>
      <c r="D5753" t="str">
        <f t="shared" si="216"/>
        <v>561380</v>
      </c>
      <c r="E5753" t="s">
        <v>5997</v>
      </c>
      <c r="F5753" t="s">
        <v>11</v>
      </c>
    </row>
    <row r="5754" spans="1:6" x14ac:dyDescent="0.25">
      <c r="A5754" t="str">
        <f>"07128398"</f>
        <v>07128398</v>
      </c>
      <c r="B5754" t="s">
        <v>6060</v>
      </c>
      <c r="C5754" t="s">
        <v>15</v>
      </c>
      <c r="D5754" t="str">
        <f t="shared" si="216"/>
        <v>561380</v>
      </c>
      <c r="E5754" t="s">
        <v>5997</v>
      </c>
      <c r="F5754" t="s">
        <v>18</v>
      </c>
    </row>
    <row r="5755" spans="1:6" x14ac:dyDescent="0.25">
      <c r="A5755" t="str">
        <f>"68983336"</f>
        <v>68983336</v>
      </c>
      <c r="B5755" t="s">
        <v>6061</v>
      </c>
      <c r="C5755" t="s">
        <v>15</v>
      </c>
      <c r="D5755" t="str">
        <f t="shared" ref="D5755:D5818" si="217">"561380"</f>
        <v>561380</v>
      </c>
      <c r="E5755" t="s">
        <v>5997</v>
      </c>
      <c r="F5755" t="s">
        <v>29</v>
      </c>
    </row>
    <row r="5756" spans="1:6" x14ac:dyDescent="0.25">
      <c r="A5756" t="str">
        <f>"62237896"</f>
        <v>62237896</v>
      </c>
      <c r="B5756" t="s">
        <v>6062</v>
      </c>
      <c r="C5756" t="s">
        <v>15</v>
      </c>
      <c r="D5756" t="str">
        <f t="shared" si="217"/>
        <v>561380</v>
      </c>
      <c r="E5756" t="s">
        <v>5997</v>
      </c>
      <c r="F5756" t="s">
        <v>29</v>
      </c>
    </row>
    <row r="5757" spans="1:6" x14ac:dyDescent="0.25">
      <c r="A5757" t="str">
        <f>"05687845"</f>
        <v>05687845</v>
      </c>
      <c r="B5757" t="s">
        <v>6063</v>
      </c>
      <c r="C5757" t="s">
        <v>15</v>
      </c>
      <c r="D5757" t="str">
        <f t="shared" si="217"/>
        <v>561380</v>
      </c>
      <c r="E5757" t="s">
        <v>5997</v>
      </c>
      <c r="F5757" t="s">
        <v>62</v>
      </c>
    </row>
    <row r="5758" spans="1:6" x14ac:dyDescent="0.25">
      <c r="A5758" t="str">
        <f>"05652227"</f>
        <v>05652227</v>
      </c>
      <c r="B5758" t="s">
        <v>6064</v>
      </c>
      <c r="C5758" t="s">
        <v>15</v>
      </c>
      <c r="D5758" t="str">
        <f t="shared" si="217"/>
        <v>561380</v>
      </c>
      <c r="E5758" t="s">
        <v>5997</v>
      </c>
      <c r="F5758" t="s">
        <v>62</v>
      </c>
    </row>
    <row r="5759" spans="1:6" x14ac:dyDescent="0.25">
      <c r="A5759" t="str">
        <f>"65650026"</f>
        <v>65650026</v>
      </c>
      <c r="B5759" t="s">
        <v>6065</v>
      </c>
      <c r="C5759" t="s">
        <v>15</v>
      </c>
      <c r="D5759" t="str">
        <f t="shared" si="217"/>
        <v>561380</v>
      </c>
      <c r="E5759" t="s">
        <v>5997</v>
      </c>
      <c r="F5759" t="s">
        <v>62</v>
      </c>
    </row>
    <row r="5760" spans="1:6" x14ac:dyDescent="0.25">
      <c r="A5760" t="str">
        <f>"26626306"</f>
        <v>26626306</v>
      </c>
      <c r="B5760" t="s">
        <v>6066</v>
      </c>
      <c r="C5760" t="s">
        <v>7</v>
      </c>
      <c r="D5760" t="str">
        <f t="shared" si="217"/>
        <v>561380</v>
      </c>
      <c r="E5760" t="s">
        <v>5997</v>
      </c>
      <c r="F5760" t="s">
        <v>11</v>
      </c>
    </row>
    <row r="5761" spans="1:6" x14ac:dyDescent="0.25">
      <c r="A5761" t="str">
        <f>"63778581"</f>
        <v>63778581</v>
      </c>
      <c r="B5761" t="s">
        <v>6067</v>
      </c>
      <c r="C5761" t="s">
        <v>7</v>
      </c>
      <c r="D5761" t="str">
        <f t="shared" si="217"/>
        <v>561380</v>
      </c>
      <c r="E5761" t="s">
        <v>5997</v>
      </c>
      <c r="F5761" t="s">
        <v>11</v>
      </c>
    </row>
    <row r="5762" spans="1:6" x14ac:dyDescent="0.25">
      <c r="A5762" t="str">
        <f>"22677551"</f>
        <v>22677551</v>
      </c>
      <c r="B5762" t="s">
        <v>6068</v>
      </c>
      <c r="C5762" t="s">
        <v>7</v>
      </c>
      <c r="D5762" t="str">
        <f t="shared" si="217"/>
        <v>561380</v>
      </c>
      <c r="E5762" t="s">
        <v>5997</v>
      </c>
      <c r="F5762" t="s">
        <v>139</v>
      </c>
    </row>
    <row r="5763" spans="1:6" x14ac:dyDescent="0.25">
      <c r="A5763" t="str">
        <f>"62237136"</f>
        <v>62237136</v>
      </c>
      <c r="B5763" t="s">
        <v>6069</v>
      </c>
      <c r="C5763" t="s">
        <v>7</v>
      </c>
      <c r="D5763" t="str">
        <f t="shared" si="217"/>
        <v>561380</v>
      </c>
      <c r="E5763" t="s">
        <v>5997</v>
      </c>
      <c r="F5763" t="s">
        <v>328</v>
      </c>
    </row>
    <row r="5764" spans="1:6" x14ac:dyDescent="0.25">
      <c r="A5764" t="str">
        <f>"22839020"</f>
        <v>22839020</v>
      </c>
      <c r="B5764" t="s">
        <v>6070</v>
      </c>
      <c r="C5764" t="s">
        <v>7</v>
      </c>
      <c r="D5764" t="str">
        <f t="shared" si="217"/>
        <v>561380</v>
      </c>
      <c r="E5764" t="s">
        <v>5997</v>
      </c>
      <c r="F5764" t="s">
        <v>11</v>
      </c>
    </row>
    <row r="5765" spans="1:6" x14ac:dyDescent="0.25">
      <c r="A5765" t="str">
        <f>"08176027"</f>
        <v>08176027</v>
      </c>
      <c r="B5765" t="s">
        <v>6071</v>
      </c>
      <c r="C5765" t="s">
        <v>7</v>
      </c>
      <c r="D5765" t="str">
        <f t="shared" si="217"/>
        <v>561380</v>
      </c>
      <c r="E5765" t="s">
        <v>5997</v>
      </c>
      <c r="F5765" t="s">
        <v>139</v>
      </c>
    </row>
    <row r="5766" spans="1:6" x14ac:dyDescent="0.25">
      <c r="A5766" t="str">
        <f>"21153574"</f>
        <v>21153574</v>
      </c>
      <c r="B5766" t="s">
        <v>6072</v>
      </c>
      <c r="C5766" t="s">
        <v>7</v>
      </c>
      <c r="D5766" t="str">
        <f t="shared" si="217"/>
        <v>561380</v>
      </c>
      <c r="E5766" t="s">
        <v>5997</v>
      </c>
      <c r="F5766" t="s">
        <v>62</v>
      </c>
    </row>
    <row r="5767" spans="1:6" x14ac:dyDescent="0.25">
      <c r="A5767" t="str">
        <f>"26611384"</f>
        <v>26611384</v>
      </c>
      <c r="B5767" t="s">
        <v>6073</v>
      </c>
      <c r="C5767" t="s">
        <v>7</v>
      </c>
      <c r="D5767" t="str">
        <f t="shared" si="217"/>
        <v>561380</v>
      </c>
      <c r="E5767" t="s">
        <v>5997</v>
      </c>
      <c r="F5767" t="s">
        <v>11</v>
      </c>
    </row>
    <row r="5768" spans="1:6" x14ac:dyDescent="0.25">
      <c r="A5768" t="str">
        <f>"70915423"</f>
        <v>70915423</v>
      </c>
      <c r="B5768" t="s">
        <v>6074</v>
      </c>
      <c r="C5768" t="s">
        <v>7</v>
      </c>
      <c r="D5768" t="str">
        <f t="shared" si="217"/>
        <v>561380</v>
      </c>
      <c r="E5768" t="s">
        <v>5997</v>
      </c>
      <c r="F5768" t="s">
        <v>11</v>
      </c>
    </row>
    <row r="5769" spans="1:6" x14ac:dyDescent="0.25">
      <c r="A5769" t="str">
        <f>"26588471"</f>
        <v>26588471</v>
      </c>
      <c r="B5769" t="s">
        <v>6075</v>
      </c>
      <c r="C5769" t="s">
        <v>7</v>
      </c>
      <c r="D5769" t="str">
        <f t="shared" si="217"/>
        <v>561380</v>
      </c>
      <c r="E5769" t="s">
        <v>5997</v>
      </c>
      <c r="F5769" t="s">
        <v>11</v>
      </c>
    </row>
    <row r="5770" spans="1:6" x14ac:dyDescent="0.25">
      <c r="A5770" t="str">
        <f>"22679065"</f>
        <v>22679065</v>
      </c>
      <c r="B5770" t="s">
        <v>6076</v>
      </c>
      <c r="C5770" t="s">
        <v>7</v>
      </c>
      <c r="D5770" t="str">
        <f t="shared" si="217"/>
        <v>561380</v>
      </c>
      <c r="E5770" t="s">
        <v>5997</v>
      </c>
      <c r="F5770" t="s">
        <v>11</v>
      </c>
    </row>
    <row r="5771" spans="1:6" x14ac:dyDescent="0.25">
      <c r="A5771" t="str">
        <f>"22766537"</f>
        <v>22766537</v>
      </c>
      <c r="B5771" t="s">
        <v>6077</v>
      </c>
      <c r="C5771" t="s">
        <v>7</v>
      </c>
      <c r="D5771" t="str">
        <f t="shared" si="217"/>
        <v>561380</v>
      </c>
      <c r="E5771" t="s">
        <v>5997</v>
      </c>
      <c r="F5771" t="s">
        <v>11</v>
      </c>
    </row>
    <row r="5772" spans="1:6" x14ac:dyDescent="0.25">
      <c r="A5772" t="str">
        <f>"27053521"</f>
        <v>27053521</v>
      </c>
      <c r="B5772" t="s">
        <v>6078</v>
      </c>
      <c r="C5772" t="s">
        <v>7</v>
      </c>
      <c r="D5772" t="str">
        <f t="shared" si="217"/>
        <v>561380</v>
      </c>
      <c r="E5772" t="s">
        <v>5997</v>
      </c>
      <c r="F5772" t="s">
        <v>424</v>
      </c>
    </row>
    <row r="5773" spans="1:6" x14ac:dyDescent="0.25">
      <c r="A5773" t="str">
        <f>"22721720"</f>
        <v>22721720</v>
      </c>
      <c r="B5773" t="s">
        <v>6079</v>
      </c>
      <c r="C5773" t="s">
        <v>7</v>
      </c>
      <c r="D5773" t="str">
        <f t="shared" si="217"/>
        <v>561380</v>
      </c>
      <c r="E5773" t="s">
        <v>5997</v>
      </c>
      <c r="F5773" t="s">
        <v>389</v>
      </c>
    </row>
    <row r="5774" spans="1:6" x14ac:dyDescent="0.25">
      <c r="A5774" t="str">
        <f>"49864629"</f>
        <v>49864629</v>
      </c>
      <c r="B5774" t="s">
        <v>6080</v>
      </c>
      <c r="C5774" t="s">
        <v>7</v>
      </c>
      <c r="D5774" t="str">
        <f t="shared" si="217"/>
        <v>561380</v>
      </c>
      <c r="E5774" t="s">
        <v>5997</v>
      </c>
      <c r="F5774" t="s">
        <v>11</v>
      </c>
    </row>
    <row r="5775" spans="1:6" x14ac:dyDescent="0.25">
      <c r="A5775" t="str">
        <f>"22734503"</f>
        <v>22734503</v>
      </c>
      <c r="B5775" t="s">
        <v>6081</v>
      </c>
      <c r="C5775" t="s">
        <v>7</v>
      </c>
      <c r="D5775" t="str">
        <f t="shared" si="217"/>
        <v>561380</v>
      </c>
      <c r="E5775" t="s">
        <v>5997</v>
      </c>
      <c r="F5775" t="s">
        <v>11</v>
      </c>
    </row>
    <row r="5776" spans="1:6" x14ac:dyDescent="0.25">
      <c r="A5776" t="str">
        <f>"22844414"</f>
        <v>22844414</v>
      </c>
      <c r="B5776" t="s">
        <v>6082</v>
      </c>
      <c r="C5776" t="s">
        <v>7</v>
      </c>
      <c r="D5776" t="str">
        <f t="shared" si="217"/>
        <v>561380</v>
      </c>
      <c r="E5776" t="s">
        <v>5997</v>
      </c>
      <c r="F5776" t="s">
        <v>11</v>
      </c>
    </row>
    <row r="5777" spans="1:6" x14ac:dyDescent="0.25">
      <c r="A5777" t="str">
        <f>"66109922"</f>
        <v>66109922</v>
      </c>
      <c r="B5777" t="s">
        <v>6083</v>
      </c>
      <c r="C5777" t="s">
        <v>7</v>
      </c>
      <c r="D5777" t="str">
        <f t="shared" si="217"/>
        <v>561380</v>
      </c>
      <c r="E5777" t="s">
        <v>5997</v>
      </c>
      <c r="F5777" t="s">
        <v>11</v>
      </c>
    </row>
    <row r="5778" spans="1:6" x14ac:dyDescent="0.25">
      <c r="A5778" t="str">
        <f>"68954417"</f>
        <v>68954417</v>
      </c>
      <c r="B5778" t="s">
        <v>6084</v>
      </c>
      <c r="C5778" t="s">
        <v>7</v>
      </c>
      <c r="D5778" t="str">
        <f t="shared" si="217"/>
        <v>561380</v>
      </c>
      <c r="E5778" t="s">
        <v>5997</v>
      </c>
      <c r="F5778" t="s">
        <v>11</v>
      </c>
    </row>
    <row r="5779" spans="1:6" x14ac:dyDescent="0.25">
      <c r="A5779" t="str">
        <f>"22666991"</f>
        <v>22666991</v>
      </c>
      <c r="B5779" t="s">
        <v>6085</v>
      </c>
      <c r="C5779" t="s">
        <v>7</v>
      </c>
      <c r="D5779" t="str">
        <f t="shared" si="217"/>
        <v>561380</v>
      </c>
      <c r="E5779" t="s">
        <v>5997</v>
      </c>
      <c r="F5779" t="s">
        <v>11</v>
      </c>
    </row>
    <row r="5780" spans="1:6" x14ac:dyDescent="0.25">
      <c r="A5780" t="str">
        <f>"26668700"</f>
        <v>26668700</v>
      </c>
      <c r="B5780" t="s">
        <v>6086</v>
      </c>
      <c r="C5780" t="s">
        <v>7</v>
      </c>
      <c r="D5780" t="str">
        <f t="shared" si="217"/>
        <v>561380</v>
      </c>
      <c r="E5780" t="s">
        <v>5997</v>
      </c>
      <c r="F5780" t="s">
        <v>424</v>
      </c>
    </row>
    <row r="5781" spans="1:6" x14ac:dyDescent="0.25">
      <c r="A5781" t="str">
        <f>"04919670"</f>
        <v>04919670</v>
      </c>
      <c r="B5781" t="s">
        <v>6087</v>
      </c>
      <c r="C5781" t="s">
        <v>7</v>
      </c>
      <c r="D5781" t="str">
        <f t="shared" si="217"/>
        <v>561380</v>
      </c>
      <c r="E5781" t="s">
        <v>5997</v>
      </c>
      <c r="F5781" t="s">
        <v>137</v>
      </c>
    </row>
    <row r="5782" spans="1:6" x14ac:dyDescent="0.25">
      <c r="A5782" t="str">
        <f>"27048918"</f>
        <v>27048918</v>
      </c>
      <c r="B5782" t="s">
        <v>6088</v>
      </c>
      <c r="C5782" t="s">
        <v>7</v>
      </c>
      <c r="D5782" t="str">
        <f t="shared" si="217"/>
        <v>561380</v>
      </c>
      <c r="E5782" t="s">
        <v>5997</v>
      </c>
      <c r="F5782" t="s">
        <v>11</v>
      </c>
    </row>
    <row r="5783" spans="1:6" x14ac:dyDescent="0.25">
      <c r="A5783" t="str">
        <f>"46750339"</f>
        <v>46750339</v>
      </c>
      <c r="B5783" t="s">
        <v>6089</v>
      </c>
      <c r="C5783" t="s">
        <v>43</v>
      </c>
      <c r="D5783" t="str">
        <f t="shared" si="217"/>
        <v>561380</v>
      </c>
      <c r="E5783" t="s">
        <v>5997</v>
      </c>
      <c r="F5783" t="s">
        <v>44</v>
      </c>
    </row>
    <row r="5784" spans="1:6" x14ac:dyDescent="0.25">
      <c r="A5784" t="str">
        <f>"46750860"</f>
        <v>46750860</v>
      </c>
      <c r="B5784" t="s">
        <v>6090</v>
      </c>
      <c r="C5784" t="s">
        <v>7</v>
      </c>
      <c r="D5784" t="str">
        <f t="shared" si="217"/>
        <v>561380</v>
      </c>
      <c r="E5784" t="s">
        <v>5997</v>
      </c>
      <c r="F5784" t="s">
        <v>9</v>
      </c>
    </row>
    <row r="5785" spans="1:6" x14ac:dyDescent="0.25">
      <c r="A5785" t="str">
        <f>"22735488"</f>
        <v>22735488</v>
      </c>
      <c r="B5785" t="s">
        <v>6091</v>
      </c>
      <c r="C5785" t="s">
        <v>7</v>
      </c>
      <c r="D5785" t="str">
        <f t="shared" si="217"/>
        <v>561380</v>
      </c>
      <c r="E5785" t="s">
        <v>5997</v>
      </c>
      <c r="F5785" t="s">
        <v>35</v>
      </c>
    </row>
    <row r="5786" spans="1:6" x14ac:dyDescent="0.25">
      <c r="A5786" t="str">
        <f>"27043401"</f>
        <v>27043401</v>
      </c>
      <c r="B5786" t="s">
        <v>6092</v>
      </c>
      <c r="C5786" t="s">
        <v>7</v>
      </c>
      <c r="D5786" t="str">
        <f t="shared" si="217"/>
        <v>561380</v>
      </c>
      <c r="E5786" t="s">
        <v>5997</v>
      </c>
      <c r="F5786" t="s">
        <v>9</v>
      </c>
    </row>
    <row r="5787" spans="1:6" x14ac:dyDescent="0.25">
      <c r="A5787" t="str">
        <f>"17324297"</f>
        <v>17324297</v>
      </c>
      <c r="B5787" t="s">
        <v>6093</v>
      </c>
      <c r="C5787" t="s">
        <v>7</v>
      </c>
      <c r="D5787" t="str">
        <f t="shared" si="217"/>
        <v>561380</v>
      </c>
      <c r="E5787" t="s">
        <v>5997</v>
      </c>
      <c r="F5787" t="s">
        <v>13</v>
      </c>
    </row>
    <row r="5788" spans="1:6" x14ac:dyDescent="0.25">
      <c r="A5788" t="str">
        <f>"69898341"</f>
        <v>69898341</v>
      </c>
      <c r="B5788" t="s">
        <v>6094</v>
      </c>
      <c r="C5788" t="s">
        <v>7</v>
      </c>
      <c r="D5788" t="str">
        <f t="shared" si="217"/>
        <v>561380</v>
      </c>
      <c r="E5788" t="s">
        <v>5997</v>
      </c>
      <c r="F5788" t="s">
        <v>35</v>
      </c>
    </row>
    <row r="5789" spans="1:6" x14ac:dyDescent="0.25">
      <c r="A5789" t="str">
        <f>"01871609"</f>
        <v>01871609</v>
      </c>
      <c r="B5789" t="s">
        <v>6095</v>
      </c>
      <c r="C5789" t="s">
        <v>7</v>
      </c>
      <c r="D5789" t="str">
        <f t="shared" si="217"/>
        <v>561380</v>
      </c>
      <c r="E5789" t="s">
        <v>5997</v>
      </c>
      <c r="F5789" t="s">
        <v>35</v>
      </c>
    </row>
    <row r="5790" spans="1:6" x14ac:dyDescent="0.25">
      <c r="A5790" t="str">
        <f>"02017610"</f>
        <v>02017610</v>
      </c>
      <c r="B5790" t="s">
        <v>6096</v>
      </c>
      <c r="C5790" t="s">
        <v>7</v>
      </c>
      <c r="D5790" t="str">
        <f t="shared" si="217"/>
        <v>561380</v>
      </c>
      <c r="E5790" t="s">
        <v>5997</v>
      </c>
      <c r="F5790" t="s">
        <v>35</v>
      </c>
    </row>
    <row r="5791" spans="1:6" x14ac:dyDescent="0.25">
      <c r="A5791" t="str">
        <f>"68435053"</f>
        <v>68435053</v>
      </c>
      <c r="B5791" t="s">
        <v>6097</v>
      </c>
      <c r="C5791" t="s">
        <v>7</v>
      </c>
      <c r="D5791" t="str">
        <f t="shared" si="217"/>
        <v>561380</v>
      </c>
      <c r="E5791" t="s">
        <v>5997</v>
      </c>
      <c r="F5791" t="s">
        <v>35</v>
      </c>
    </row>
    <row r="5792" spans="1:6" x14ac:dyDescent="0.25">
      <c r="A5792" t="str">
        <f>"01253301"</f>
        <v>01253301</v>
      </c>
      <c r="B5792" t="s">
        <v>6098</v>
      </c>
      <c r="C5792" t="s">
        <v>7</v>
      </c>
      <c r="D5792" t="str">
        <f t="shared" si="217"/>
        <v>561380</v>
      </c>
      <c r="E5792" t="s">
        <v>5997</v>
      </c>
      <c r="F5792" t="s">
        <v>11</v>
      </c>
    </row>
    <row r="5793" spans="1:6" x14ac:dyDescent="0.25">
      <c r="A5793" t="str">
        <f>"04965353"</f>
        <v>04965353</v>
      </c>
      <c r="B5793" t="s">
        <v>6099</v>
      </c>
      <c r="C5793" t="s">
        <v>7</v>
      </c>
      <c r="D5793" t="str">
        <f t="shared" si="217"/>
        <v>561380</v>
      </c>
      <c r="E5793" t="s">
        <v>5997</v>
      </c>
      <c r="F5793" t="s">
        <v>11</v>
      </c>
    </row>
    <row r="5794" spans="1:6" x14ac:dyDescent="0.25">
      <c r="A5794" t="str">
        <f>"08938008"</f>
        <v>08938008</v>
      </c>
      <c r="B5794" t="s">
        <v>6100</v>
      </c>
      <c r="C5794" t="s">
        <v>15</v>
      </c>
      <c r="D5794" t="str">
        <f t="shared" si="217"/>
        <v>561380</v>
      </c>
      <c r="E5794" t="s">
        <v>5997</v>
      </c>
      <c r="F5794" t="s">
        <v>65</v>
      </c>
    </row>
    <row r="5795" spans="1:6" x14ac:dyDescent="0.25">
      <c r="A5795" t="str">
        <f>"26584778"</f>
        <v>26584778</v>
      </c>
      <c r="B5795" t="s">
        <v>6101</v>
      </c>
      <c r="C5795" t="s">
        <v>7</v>
      </c>
      <c r="D5795" t="str">
        <f t="shared" si="217"/>
        <v>561380</v>
      </c>
      <c r="E5795" t="s">
        <v>5997</v>
      </c>
      <c r="F5795" t="s">
        <v>11</v>
      </c>
    </row>
    <row r="5796" spans="1:6" x14ac:dyDescent="0.25">
      <c r="A5796" t="str">
        <f>"22756990"</f>
        <v>22756990</v>
      </c>
      <c r="B5796" t="s">
        <v>6102</v>
      </c>
      <c r="C5796" t="s">
        <v>7</v>
      </c>
      <c r="D5796" t="str">
        <f t="shared" si="217"/>
        <v>561380</v>
      </c>
      <c r="E5796" t="s">
        <v>5997</v>
      </c>
      <c r="F5796" t="s">
        <v>11</v>
      </c>
    </row>
    <row r="5797" spans="1:6" x14ac:dyDescent="0.25">
      <c r="A5797" t="str">
        <f>"22889892"</f>
        <v>22889892</v>
      </c>
      <c r="B5797" t="s">
        <v>6103</v>
      </c>
      <c r="C5797" t="s">
        <v>15</v>
      </c>
      <c r="D5797" t="str">
        <f t="shared" si="217"/>
        <v>561380</v>
      </c>
      <c r="E5797" t="s">
        <v>5997</v>
      </c>
      <c r="F5797" t="s">
        <v>16</v>
      </c>
    </row>
    <row r="5798" spans="1:6" x14ac:dyDescent="0.25">
      <c r="A5798" t="str">
        <f>"22889884"</f>
        <v>22889884</v>
      </c>
      <c r="B5798" t="s">
        <v>6104</v>
      </c>
      <c r="C5798" t="s">
        <v>15</v>
      </c>
      <c r="D5798" t="str">
        <f t="shared" si="217"/>
        <v>561380</v>
      </c>
      <c r="E5798" t="s">
        <v>5997</v>
      </c>
      <c r="F5798" t="s">
        <v>16</v>
      </c>
    </row>
    <row r="5799" spans="1:6" x14ac:dyDescent="0.25">
      <c r="A5799" t="str">
        <f>"01679155"</f>
        <v>01679155</v>
      </c>
      <c r="B5799" t="s">
        <v>6105</v>
      </c>
      <c r="C5799" t="s">
        <v>7</v>
      </c>
      <c r="D5799" t="str">
        <f t="shared" si="217"/>
        <v>561380</v>
      </c>
      <c r="E5799" t="s">
        <v>5997</v>
      </c>
      <c r="F5799" t="s">
        <v>11</v>
      </c>
    </row>
    <row r="5800" spans="1:6" x14ac:dyDescent="0.25">
      <c r="A5800" t="str">
        <f>"22866523"</f>
        <v>22866523</v>
      </c>
      <c r="B5800" t="s">
        <v>6106</v>
      </c>
      <c r="C5800" t="s">
        <v>7</v>
      </c>
      <c r="D5800" t="str">
        <f t="shared" si="217"/>
        <v>561380</v>
      </c>
      <c r="E5800" t="s">
        <v>5997</v>
      </c>
      <c r="F5800" t="s">
        <v>9</v>
      </c>
    </row>
    <row r="5801" spans="1:6" x14ac:dyDescent="0.25">
      <c r="A5801" t="str">
        <f>"08581487"</f>
        <v>08581487</v>
      </c>
      <c r="B5801" t="s">
        <v>6107</v>
      </c>
      <c r="C5801" t="s">
        <v>7</v>
      </c>
      <c r="D5801" t="str">
        <f t="shared" si="217"/>
        <v>561380</v>
      </c>
      <c r="E5801" t="s">
        <v>5997</v>
      </c>
      <c r="F5801" t="s">
        <v>9</v>
      </c>
    </row>
    <row r="5802" spans="1:6" x14ac:dyDescent="0.25">
      <c r="A5802" t="str">
        <f>"17313597"</f>
        <v>17313597</v>
      </c>
      <c r="B5802" t="s">
        <v>6108</v>
      </c>
      <c r="C5802" t="s">
        <v>7</v>
      </c>
      <c r="D5802" t="str">
        <f t="shared" si="217"/>
        <v>561380</v>
      </c>
      <c r="E5802" t="s">
        <v>5997</v>
      </c>
      <c r="F5802" t="s">
        <v>11</v>
      </c>
    </row>
    <row r="5803" spans="1:6" x14ac:dyDescent="0.25">
      <c r="A5803" t="str">
        <f>"22881042"</f>
        <v>22881042</v>
      </c>
      <c r="B5803" t="s">
        <v>6109</v>
      </c>
      <c r="C5803" t="s">
        <v>7</v>
      </c>
      <c r="D5803" t="str">
        <f t="shared" si="217"/>
        <v>561380</v>
      </c>
      <c r="E5803" t="s">
        <v>5997</v>
      </c>
      <c r="F5803" t="s">
        <v>11</v>
      </c>
    </row>
    <row r="5804" spans="1:6" x14ac:dyDescent="0.25">
      <c r="A5804" t="str">
        <f>"70229830"</f>
        <v>70229830</v>
      </c>
      <c r="B5804" t="s">
        <v>6110</v>
      </c>
      <c r="C5804" t="s">
        <v>7</v>
      </c>
      <c r="D5804" t="str">
        <f t="shared" si="217"/>
        <v>561380</v>
      </c>
      <c r="E5804" t="s">
        <v>5997</v>
      </c>
      <c r="F5804" t="s">
        <v>35</v>
      </c>
    </row>
    <row r="5805" spans="1:6" x14ac:dyDescent="0.25">
      <c r="A5805" t="str">
        <f>"08452857"</f>
        <v>08452857</v>
      </c>
      <c r="B5805" t="s">
        <v>6111</v>
      </c>
      <c r="C5805" t="s">
        <v>7</v>
      </c>
      <c r="D5805" t="str">
        <f t="shared" si="217"/>
        <v>561380</v>
      </c>
      <c r="E5805" t="s">
        <v>5997</v>
      </c>
      <c r="F5805" t="s">
        <v>62</v>
      </c>
    </row>
    <row r="5806" spans="1:6" x14ac:dyDescent="0.25">
      <c r="A5806" t="str">
        <f>"46750444"</f>
        <v>46750444</v>
      </c>
      <c r="B5806" t="s">
        <v>6112</v>
      </c>
      <c r="C5806" t="s">
        <v>7</v>
      </c>
      <c r="D5806" t="str">
        <f t="shared" si="217"/>
        <v>561380</v>
      </c>
      <c r="E5806" t="s">
        <v>5997</v>
      </c>
      <c r="F5806" t="s">
        <v>9</v>
      </c>
    </row>
    <row r="5807" spans="1:6" x14ac:dyDescent="0.25">
      <c r="A5807" t="str">
        <f>"75070014"</f>
        <v>75070014</v>
      </c>
      <c r="B5807" t="s">
        <v>6113</v>
      </c>
      <c r="C5807" t="s">
        <v>37</v>
      </c>
      <c r="D5807" t="str">
        <f t="shared" si="217"/>
        <v>561380</v>
      </c>
      <c r="E5807" t="s">
        <v>5997</v>
      </c>
      <c r="F5807" t="s">
        <v>38</v>
      </c>
    </row>
    <row r="5808" spans="1:6" x14ac:dyDescent="0.25">
      <c r="A5808" t="str">
        <f>"71165495"</f>
        <v>71165495</v>
      </c>
      <c r="B5808" t="s">
        <v>6114</v>
      </c>
      <c r="C5808" t="s">
        <v>37</v>
      </c>
      <c r="D5808" t="str">
        <f t="shared" si="217"/>
        <v>561380</v>
      </c>
      <c r="E5808" t="s">
        <v>5997</v>
      </c>
      <c r="F5808" t="s">
        <v>38</v>
      </c>
    </row>
    <row r="5809" spans="1:6" x14ac:dyDescent="0.25">
      <c r="A5809" t="str">
        <f>"71229604"</f>
        <v>71229604</v>
      </c>
      <c r="B5809" t="s">
        <v>6115</v>
      </c>
      <c r="C5809" t="s">
        <v>37</v>
      </c>
      <c r="D5809" t="str">
        <f t="shared" si="217"/>
        <v>561380</v>
      </c>
      <c r="E5809" t="s">
        <v>5997</v>
      </c>
      <c r="F5809" t="s">
        <v>38</v>
      </c>
    </row>
    <row r="5810" spans="1:6" x14ac:dyDescent="0.25">
      <c r="A5810" t="str">
        <f>"71185704"</f>
        <v>71185704</v>
      </c>
      <c r="B5810" t="s">
        <v>6116</v>
      </c>
      <c r="C5810" t="s">
        <v>37</v>
      </c>
      <c r="D5810" t="str">
        <f t="shared" si="217"/>
        <v>561380</v>
      </c>
      <c r="E5810" t="s">
        <v>5997</v>
      </c>
      <c r="F5810" t="s">
        <v>38</v>
      </c>
    </row>
    <row r="5811" spans="1:6" x14ac:dyDescent="0.25">
      <c r="A5811" t="str">
        <f>"71179194"</f>
        <v>71179194</v>
      </c>
      <c r="B5811" t="s">
        <v>6117</v>
      </c>
      <c r="C5811" t="s">
        <v>37</v>
      </c>
      <c r="D5811" t="str">
        <f t="shared" si="217"/>
        <v>561380</v>
      </c>
      <c r="E5811" t="s">
        <v>5997</v>
      </c>
      <c r="F5811" t="s">
        <v>38</v>
      </c>
    </row>
    <row r="5812" spans="1:6" x14ac:dyDescent="0.25">
      <c r="A5812" t="str">
        <f>"71165487"</f>
        <v>71165487</v>
      </c>
      <c r="B5812" t="s">
        <v>6118</v>
      </c>
      <c r="C5812" t="s">
        <v>37</v>
      </c>
      <c r="D5812" t="str">
        <f t="shared" si="217"/>
        <v>561380</v>
      </c>
      <c r="E5812" t="s">
        <v>5997</v>
      </c>
      <c r="F5812" t="s">
        <v>38</v>
      </c>
    </row>
    <row r="5813" spans="1:6" x14ac:dyDescent="0.25">
      <c r="A5813" t="str">
        <f>"71191291"</f>
        <v>71191291</v>
      </c>
      <c r="B5813" t="s">
        <v>6119</v>
      </c>
      <c r="C5813" t="s">
        <v>37</v>
      </c>
      <c r="D5813" t="str">
        <f t="shared" si="217"/>
        <v>561380</v>
      </c>
      <c r="E5813" t="s">
        <v>5997</v>
      </c>
      <c r="F5813" t="s">
        <v>38</v>
      </c>
    </row>
    <row r="5814" spans="1:6" x14ac:dyDescent="0.25">
      <c r="A5814" t="str">
        <f>"26547562"</f>
        <v>26547562</v>
      </c>
      <c r="B5814" t="s">
        <v>6120</v>
      </c>
      <c r="C5814" t="s">
        <v>7</v>
      </c>
      <c r="D5814" t="str">
        <f t="shared" si="217"/>
        <v>561380</v>
      </c>
      <c r="E5814" t="s">
        <v>5997</v>
      </c>
      <c r="F5814" t="s">
        <v>11</v>
      </c>
    </row>
    <row r="5815" spans="1:6" x14ac:dyDescent="0.25">
      <c r="A5815" t="str">
        <f>"03095428"</f>
        <v>03095428</v>
      </c>
      <c r="B5815" t="s">
        <v>6121</v>
      </c>
      <c r="C5815" t="s">
        <v>27</v>
      </c>
      <c r="D5815" t="str">
        <f t="shared" si="217"/>
        <v>561380</v>
      </c>
      <c r="E5815" t="s">
        <v>5997</v>
      </c>
      <c r="F5815" t="s">
        <v>13</v>
      </c>
    </row>
    <row r="5816" spans="1:6" x14ac:dyDescent="0.25">
      <c r="A5816" t="str">
        <f>"63778246"</f>
        <v>63778246</v>
      </c>
      <c r="B5816" t="s">
        <v>6122</v>
      </c>
      <c r="C5816" t="s">
        <v>7</v>
      </c>
      <c r="D5816" t="str">
        <f t="shared" si="217"/>
        <v>561380</v>
      </c>
      <c r="E5816" t="s">
        <v>5997</v>
      </c>
      <c r="F5816" t="s">
        <v>35</v>
      </c>
    </row>
    <row r="5817" spans="1:6" x14ac:dyDescent="0.25">
      <c r="A5817" t="str">
        <f>"26604345"</f>
        <v>26604345</v>
      </c>
      <c r="B5817" t="s">
        <v>6123</v>
      </c>
      <c r="C5817" t="s">
        <v>7</v>
      </c>
      <c r="D5817" t="str">
        <f t="shared" si="217"/>
        <v>561380</v>
      </c>
      <c r="E5817" t="s">
        <v>5997</v>
      </c>
      <c r="F5817" t="s">
        <v>11</v>
      </c>
    </row>
    <row r="5818" spans="1:6" x14ac:dyDescent="0.25">
      <c r="A5818" t="str">
        <f>"09665943"</f>
        <v>09665943</v>
      </c>
      <c r="B5818" t="s">
        <v>6124</v>
      </c>
      <c r="C5818" t="s">
        <v>7</v>
      </c>
      <c r="D5818" t="str">
        <f t="shared" si="217"/>
        <v>561380</v>
      </c>
      <c r="E5818" t="s">
        <v>5997</v>
      </c>
      <c r="F5818" t="s">
        <v>62</v>
      </c>
    </row>
    <row r="5819" spans="1:6" x14ac:dyDescent="0.25">
      <c r="A5819" t="str">
        <f>"22746749"</f>
        <v>22746749</v>
      </c>
      <c r="B5819" t="s">
        <v>6125</v>
      </c>
      <c r="C5819" t="s">
        <v>7</v>
      </c>
      <c r="D5819" t="str">
        <f t="shared" ref="D5819:D5882" si="218">"561380"</f>
        <v>561380</v>
      </c>
      <c r="E5819" t="s">
        <v>5997</v>
      </c>
      <c r="F5819" t="s">
        <v>35</v>
      </c>
    </row>
    <row r="5820" spans="1:6" x14ac:dyDescent="0.25">
      <c r="A5820" t="str">
        <f>"69411336"</f>
        <v>69411336</v>
      </c>
      <c r="B5820" t="s">
        <v>6126</v>
      </c>
      <c r="C5820" t="s">
        <v>7</v>
      </c>
      <c r="D5820" t="str">
        <f t="shared" si="218"/>
        <v>561380</v>
      </c>
      <c r="E5820" t="s">
        <v>5997</v>
      </c>
      <c r="F5820" t="s">
        <v>35</v>
      </c>
    </row>
    <row r="5821" spans="1:6" x14ac:dyDescent="0.25">
      <c r="A5821" t="str">
        <f>"22851771"</f>
        <v>22851771</v>
      </c>
      <c r="B5821" t="s">
        <v>6127</v>
      </c>
      <c r="C5821" t="s">
        <v>7</v>
      </c>
      <c r="D5821" t="str">
        <f t="shared" si="218"/>
        <v>561380</v>
      </c>
      <c r="E5821" t="s">
        <v>5997</v>
      </c>
      <c r="F5821" t="s">
        <v>35</v>
      </c>
    </row>
    <row r="5822" spans="1:6" x14ac:dyDescent="0.25">
      <c r="A5822" t="str">
        <f>"22715134"</f>
        <v>22715134</v>
      </c>
      <c r="B5822" t="s">
        <v>6128</v>
      </c>
      <c r="C5822" t="s">
        <v>7</v>
      </c>
      <c r="D5822" t="str">
        <f t="shared" si="218"/>
        <v>561380</v>
      </c>
      <c r="E5822" t="s">
        <v>5997</v>
      </c>
      <c r="F5822" t="s">
        <v>11</v>
      </c>
    </row>
    <row r="5823" spans="1:6" x14ac:dyDescent="0.25">
      <c r="A5823" t="str">
        <f>"11640812"</f>
        <v>11640812</v>
      </c>
      <c r="B5823" t="s">
        <v>6129</v>
      </c>
      <c r="C5823" t="s">
        <v>7</v>
      </c>
      <c r="D5823" t="str">
        <f t="shared" si="218"/>
        <v>561380</v>
      </c>
      <c r="E5823" t="s">
        <v>5997</v>
      </c>
      <c r="F5823" t="s">
        <v>35</v>
      </c>
    </row>
    <row r="5824" spans="1:6" x14ac:dyDescent="0.25">
      <c r="A5824" t="str">
        <f>"44225059"</f>
        <v>44225059</v>
      </c>
      <c r="B5824" t="s">
        <v>6130</v>
      </c>
      <c r="C5824" t="s">
        <v>15</v>
      </c>
      <c r="D5824" t="str">
        <f t="shared" si="218"/>
        <v>561380</v>
      </c>
      <c r="E5824" t="s">
        <v>5997</v>
      </c>
      <c r="F5824" t="s">
        <v>139</v>
      </c>
    </row>
    <row r="5825" spans="1:6" x14ac:dyDescent="0.25">
      <c r="A5825" t="str">
        <f>"22842063"</f>
        <v>22842063</v>
      </c>
      <c r="B5825" t="s">
        <v>6131</v>
      </c>
      <c r="C5825" t="s">
        <v>7</v>
      </c>
      <c r="D5825" t="str">
        <f t="shared" si="218"/>
        <v>561380</v>
      </c>
      <c r="E5825" t="s">
        <v>5997</v>
      </c>
      <c r="F5825" t="s">
        <v>139</v>
      </c>
    </row>
    <row r="5826" spans="1:6" x14ac:dyDescent="0.25">
      <c r="A5826" t="str">
        <f>"49864301"</f>
        <v>49864301</v>
      </c>
      <c r="B5826" t="s">
        <v>6132</v>
      </c>
      <c r="C5826" t="s">
        <v>7</v>
      </c>
      <c r="D5826" t="str">
        <f t="shared" si="218"/>
        <v>561380</v>
      </c>
      <c r="E5826" t="s">
        <v>5997</v>
      </c>
      <c r="F5826" t="s">
        <v>35</v>
      </c>
    </row>
    <row r="5827" spans="1:6" x14ac:dyDescent="0.25">
      <c r="A5827" t="str">
        <f>"23107286"</f>
        <v>23107286</v>
      </c>
      <c r="B5827" t="s">
        <v>6133</v>
      </c>
      <c r="C5827" t="s">
        <v>27</v>
      </c>
      <c r="D5827" t="str">
        <f t="shared" si="218"/>
        <v>561380</v>
      </c>
      <c r="E5827" t="s">
        <v>5997</v>
      </c>
      <c r="F5827" t="s">
        <v>11</v>
      </c>
    </row>
    <row r="5828" spans="1:6" x14ac:dyDescent="0.25">
      <c r="A5828" t="str">
        <f>"01768948"</f>
        <v>01768948</v>
      </c>
      <c r="B5828" t="s">
        <v>6134</v>
      </c>
      <c r="C5828" t="s">
        <v>15</v>
      </c>
      <c r="D5828" t="str">
        <f t="shared" si="218"/>
        <v>561380</v>
      </c>
      <c r="E5828" t="s">
        <v>5997</v>
      </c>
      <c r="F5828" t="s">
        <v>11</v>
      </c>
    </row>
    <row r="5829" spans="1:6" x14ac:dyDescent="0.25">
      <c r="A5829" t="str">
        <f>"17550891"</f>
        <v>17550891</v>
      </c>
      <c r="B5829" t="s">
        <v>6135</v>
      </c>
      <c r="C5829" t="s">
        <v>7</v>
      </c>
      <c r="D5829" t="str">
        <f t="shared" si="218"/>
        <v>561380</v>
      </c>
      <c r="E5829" t="s">
        <v>5997</v>
      </c>
      <c r="F5829" t="s">
        <v>62</v>
      </c>
    </row>
    <row r="5830" spans="1:6" x14ac:dyDescent="0.25">
      <c r="A5830" t="str">
        <f>"27021190"</f>
        <v>27021190</v>
      </c>
      <c r="B5830" t="s">
        <v>6136</v>
      </c>
      <c r="C5830" t="s">
        <v>7</v>
      </c>
      <c r="D5830" t="str">
        <f t="shared" si="218"/>
        <v>561380</v>
      </c>
      <c r="E5830" t="s">
        <v>5997</v>
      </c>
      <c r="F5830" t="s">
        <v>9</v>
      </c>
    </row>
    <row r="5831" spans="1:6" x14ac:dyDescent="0.25">
      <c r="A5831" t="str">
        <f>"00474215"</f>
        <v>00474215</v>
      </c>
      <c r="B5831" t="s">
        <v>6137</v>
      </c>
      <c r="C5831" t="s">
        <v>7</v>
      </c>
      <c r="D5831" t="str">
        <f t="shared" si="218"/>
        <v>561380</v>
      </c>
      <c r="E5831" t="s">
        <v>5997</v>
      </c>
      <c r="F5831" t="s">
        <v>29</v>
      </c>
    </row>
    <row r="5832" spans="1:6" x14ac:dyDescent="0.25">
      <c r="A5832" t="str">
        <f>"22871730"</f>
        <v>22871730</v>
      </c>
      <c r="B5832" t="s">
        <v>6138</v>
      </c>
      <c r="C5832" t="s">
        <v>7</v>
      </c>
      <c r="D5832" t="str">
        <f t="shared" si="218"/>
        <v>561380</v>
      </c>
      <c r="E5832" t="s">
        <v>5997</v>
      </c>
      <c r="F5832" t="s">
        <v>11</v>
      </c>
    </row>
    <row r="5833" spans="1:6" x14ac:dyDescent="0.25">
      <c r="A5833" t="str">
        <f>"49864483"</f>
        <v>49864483</v>
      </c>
      <c r="B5833" t="s">
        <v>6139</v>
      </c>
      <c r="C5833" t="s">
        <v>7</v>
      </c>
      <c r="D5833" t="str">
        <f t="shared" si="218"/>
        <v>561380</v>
      </c>
      <c r="E5833" t="s">
        <v>5997</v>
      </c>
      <c r="F5833" t="s">
        <v>29</v>
      </c>
    </row>
    <row r="5834" spans="1:6" x14ac:dyDescent="0.25">
      <c r="A5834" t="str">
        <f>"70200297"</f>
        <v>70200297</v>
      </c>
      <c r="B5834" t="s">
        <v>6140</v>
      </c>
      <c r="C5834" t="s">
        <v>726</v>
      </c>
      <c r="D5834" t="str">
        <f t="shared" si="218"/>
        <v>561380</v>
      </c>
      <c r="E5834" t="s">
        <v>5997</v>
      </c>
      <c r="F5834" t="s">
        <v>139</v>
      </c>
    </row>
    <row r="5835" spans="1:6" x14ac:dyDescent="0.25">
      <c r="A5835" t="str">
        <f>"26527871"</f>
        <v>26527871</v>
      </c>
      <c r="B5835" t="s">
        <v>6141</v>
      </c>
      <c r="C5835" t="s">
        <v>7</v>
      </c>
      <c r="D5835" t="str">
        <f t="shared" si="218"/>
        <v>561380</v>
      </c>
      <c r="E5835" t="s">
        <v>5997</v>
      </c>
      <c r="F5835" t="s">
        <v>11</v>
      </c>
    </row>
    <row r="5836" spans="1:6" x14ac:dyDescent="0.25">
      <c r="A5836" t="str">
        <f>"01179381"</f>
        <v>01179381</v>
      </c>
      <c r="B5836" t="s">
        <v>6142</v>
      </c>
      <c r="C5836" t="s">
        <v>7</v>
      </c>
      <c r="D5836" t="str">
        <f t="shared" si="218"/>
        <v>561380</v>
      </c>
      <c r="E5836" t="s">
        <v>5997</v>
      </c>
      <c r="F5836" t="s">
        <v>35</v>
      </c>
    </row>
    <row r="5837" spans="1:6" x14ac:dyDescent="0.25">
      <c r="A5837" t="str">
        <f>"69410917"</f>
        <v>69410917</v>
      </c>
      <c r="B5837" t="s">
        <v>6143</v>
      </c>
      <c r="C5837" t="s">
        <v>7</v>
      </c>
      <c r="D5837" t="str">
        <f t="shared" si="218"/>
        <v>561380</v>
      </c>
      <c r="E5837" t="s">
        <v>5997</v>
      </c>
      <c r="F5837" t="s">
        <v>65</v>
      </c>
    </row>
    <row r="5838" spans="1:6" x14ac:dyDescent="0.25">
      <c r="A5838" t="str">
        <f>"00527092"</f>
        <v>00527092</v>
      </c>
      <c r="B5838" t="s">
        <v>6144</v>
      </c>
      <c r="C5838" t="s">
        <v>15</v>
      </c>
      <c r="D5838" t="str">
        <f t="shared" si="218"/>
        <v>561380</v>
      </c>
      <c r="E5838" t="s">
        <v>5997</v>
      </c>
      <c r="F5838" t="s">
        <v>9</v>
      </c>
    </row>
    <row r="5839" spans="1:6" x14ac:dyDescent="0.25">
      <c r="A5839" t="str">
        <f>"46750134"</f>
        <v>46750134</v>
      </c>
      <c r="B5839" t="s">
        <v>6145</v>
      </c>
      <c r="C5839" t="s">
        <v>7</v>
      </c>
      <c r="D5839" t="str">
        <f t="shared" si="218"/>
        <v>561380</v>
      </c>
      <c r="E5839" t="s">
        <v>5997</v>
      </c>
      <c r="F5839" t="s">
        <v>11</v>
      </c>
    </row>
    <row r="5840" spans="1:6" x14ac:dyDescent="0.25">
      <c r="A5840" t="str">
        <f>"26560321"</f>
        <v>26560321</v>
      </c>
      <c r="B5840" t="s">
        <v>6146</v>
      </c>
      <c r="C5840" t="s">
        <v>7</v>
      </c>
      <c r="D5840" t="str">
        <f t="shared" si="218"/>
        <v>561380</v>
      </c>
      <c r="E5840" t="s">
        <v>5997</v>
      </c>
      <c r="F5840" t="s">
        <v>11</v>
      </c>
    </row>
    <row r="5841" spans="1:6" x14ac:dyDescent="0.25">
      <c r="A5841" t="str">
        <f>"26528797"</f>
        <v>26528797</v>
      </c>
      <c r="B5841" t="s">
        <v>6147</v>
      </c>
      <c r="C5841" t="s">
        <v>7</v>
      </c>
      <c r="D5841" t="str">
        <f t="shared" si="218"/>
        <v>561380</v>
      </c>
      <c r="E5841" t="s">
        <v>5997</v>
      </c>
      <c r="F5841" t="s">
        <v>11</v>
      </c>
    </row>
    <row r="5842" spans="1:6" x14ac:dyDescent="0.25">
      <c r="A5842" t="str">
        <f>"48282715"</f>
        <v>48282715</v>
      </c>
      <c r="B5842" t="s">
        <v>6148</v>
      </c>
      <c r="C5842" t="s">
        <v>7</v>
      </c>
      <c r="D5842" t="str">
        <f t="shared" si="218"/>
        <v>561380</v>
      </c>
      <c r="E5842" t="s">
        <v>5997</v>
      </c>
      <c r="F5842" t="s">
        <v>11</v>
      </c>
    </row>
    <row r="5843" spans="1:6" x14ac:dyDescent="0.25">
      <c r="A5843" t="str">
        <f>"22667733"</f>
        <v>22667733</v>
      </c>
      <c r="B5843" t="s">
        <v>6149</v>
      </c>
      <c r="C5843" t="s">
        <v>7</v>
      </c>
      <c r="D5843" t="str">
        <f t="shared" si="218"/>
        <v>561380</v>
      </c>
      <c r="E5843" t="s">
        <v>5997</v>
      </c>
      <c r="F5843" t="s">
        <v>35</v>
      </c>
    </row>
    <row r="5844" spans="1:6" x14ac:dyDescent="0.25">
      <c r="A5844" t="str">
        <f>"49864327"</f>
        <v>49864327</v>
      </c>
      <c r="B5844" t="s">
        <v>6150</v>
      </c>
      <c r="C5844" t="s">
        <v>7</v>
      </c>
      <c r="D5844" t="str">
        <f t="shared" si="218"/>
        <v>561380</v>
      </c>
      <c r="E5844" t="s">
        <v>5997</v>
      </c>
      <c r="F5844" t="s">
        <v>11</v>
      </c>
    </row>
    <row r="5845" spans="1:6" x14ac:dyDescent="0.25">
      <c r="A5845" t="str">
        <f>"26515521"</f>
        <v>26515521</v>
      </c>
      <c r="B5845" t="s">
        <v>6151</v>
      </c>
      <c r="C5845" t="s">
        <v>7</v>
      </c>
      <c r="D5845" t="str">
        <f t="shared" si="218"/>
        <v>561380</v>
      </c>
      <c r="E5845" t="s">
        <v>5997</v>
      </c>
      <c r="F5845" t="s">
        <v>11</v>
      </c>
    </row>
    <row r="5846" spans="1:6" x14ac:dyDescent="0.25">
      <c r="A5846" t="str">
        <f>"69411298"</f>
        <v>69411298</v>
      </c>
      <c r="B5846" t="s">
        <v>6152</v>
      </c>
      <c r="C5846" t="s">
        <v>7</v>
      </c>
      <c r="D5846" t="str">
        <f t="shared" si="218"/>
        <v>561380</v>
      </c>
      <c r="E5846" t="s">
        <v>5997</v>
      </c>
      <c r="F5846" t="s">
        <v>35</v>
      </c>
    </row>
    <row r="5847" spans="1:6" x14ac:dyDescent="0.25">
      <c r="A5847" t="str">
        <f>"26571358"</f>
        <v>26571358</v>
      </c>
      <c r="B5847" t="s">
        <v>6153</v>
      </c>
      <c r="C5847" t="s">
        <v>7</v>
      </c>
      <c r="D5847" t="str">
        <f t="shared" si="218"/>
        <v>561380</v>
      </c>
      <c r="E5847" t="s">
        <v>5997</v>
      </c>
      <c r="F5847" t="s">
        <v>35</v>
      </c>
    </row>
    <row r="5848" spans="1:6" x14ac:dyDescent="0.25">
      <c r="A5848" t="str">
        <f>"22756451"</f>
        <v>22756451</v>
      </c>
      <c r="B5848" t="s">
        <v>6154</v>
      </c>
      <c r="C5848" t="s">
        <v>7</v>
      </c>
      <c r="D5848" t="str">
        <f t="shared" si="218"/>
        <v>561380</v>
      </c>
      <c r="E5848" t="s">
        <v>5997</v>
      </c>
      <c r="F5848" t="s">
        <v>62</v>
      </c>
    </row>
    <row r="5849" spans="1:6" x14ac:dyDescent="0.25">
      <c r="A5849" t="str">
        <f>"02141183"</f>
        <v>02141183</v>
      </c>
      <c r="B5849" t="s">
        <v>6155</v>
      </c>
      <c r="C5849" t="s">
        <v>7</v>
      </c>
      <c r="D5849" t="str">
        <f t="shared" si="218"/>
        <v>561380</v>
      </c>
      <c r="E5849" t="s">
        <v>5997</v>
      </c>
      <c r="F5849" t="s">
        <v>29</v>
      </c>
    </row>
    <row r="5850" spans="1:6" x14ac:dyDescent="0.25">
      <c r="A5850" t="str">
        <f>"22734228"</f>
        <v>22734228</v>
      </c>
      <c r="B5850" t="s">
        <v>6156</v>
      </c>
      <c r="C5850" t="s">
        <v>7</v>
      </c>
      <c r="D5850" t="str">
        <f t="shared" si="218"/>
        <v>561380</v>
      </c>
      <c r="E5850" t="s">
        <v>5997</v>
      </c>
      <c r="F5850" t="s">
        <v>11</v>
      </c>
    </row>
    <row r="5851" spans="1:6" x14ac:dyDescent="0.25">
      <c r="A5851" t="str">
        <f>"27006000"</f>
        <v>27006000</v>
      </c>
      <c r="B5851" t="s">
        <v>6157</v>
      </c>
      <c r="C5851" t="s">
        <v>7</v>
      </c>
      <c r="D5851" t="str">
        <f t="shared" si="218"/>
        <v>561380</v>
      </c>
      <c r="E5851" t="s">
        <v>5997</v>
      </c>
      <c r="F5851" t="s">
        <v>11</v>
      </c>
    </row>
    <row r="5852" spans="1:6" x14ac:dyDescent="0.25">
      <c r="A5852" t="str">
        <f>"26593203"</f>
        <v>26593203</v>
      </c>
      <c r="B5852" t="s">
        <v>6158</v>
      </c>
      <c r="C5852" t="s">
        <v>7</v>
      </c>
      <c r="D5852" t="str">
        <f t="shared" si="218"/>
        <v>561380</v>
      </c>
      <c r="E5852" t="s">
        <v>5997</v>
      </c>
      <c r="F5852" t="s">
        <v>11</v>
      </c>
    </row>
    <row r="5853" spans="1:6" x14ac:dyDescent="0.25">
      <c r="A5853" t="str">
        <f>"65999746"</f>
        <v>65999746</v>
      </c>
      <c r="B5853" t="s">
        <v>6159</v>
      </c>
      <c r="C5853" t="s">
        <v>7</v>
      </c>
      <c r="D5853" t="str">
        <f t="shared" si="218"/>
        <v>561380</v>
      </c>
      <c r="E5853" t="s">
        <v>5997</v>
      </c>
      <c r="F5853" t="s">
        <v>35</v>
      </c>
    </row>
    <row r="5854" spans="1:6" x14ac:dyDescent="0.25">
      <c r="A5854" t="str">
        <f>"63778319"</f>
        <v>63778319</v>
      </c>
      <c r="B5854" t="s">
        <v>6160</v>
      </c>
      <c r="C5854" t="s">
        <v>15</v>
      </c>
      <c r="D5854" t="str">
        <f t="shared" si="218"/>
        <v>561380</v>
      </c>
      <c r="E5854" t="s">
        <v>5997</v>
      </c>
      <c r="F5854" t="s">
        <v>11</v>
      </c>
    </row>
    <row r="5855" spans="1:6" x14ac:dyDescent="0.25">
      <c r="A5855" t="str">
        <f>"08781451"</f>
        <v>08781451</v>
      </c>
      <c r="B5855" t="s">
        <v>6161</v>
      </c>
      <c r="C5855" t="s">
        <v>15</v>
      </c>
      <c r="D5855" t="str">
        <f t="shared" si="218"/>
        <v>561380</v>
      </c>
      <c r="E5855" t="s">
        <v>5997</v>
      </c>
      <c r="F5855" t="s">
        <v>9</v>
      </c>
    </row>
    <row r="5856" spans="1:6" x14ac:dyDescent="0.25">
      <c r="A5856" t="str">
        <f>"09127062"</f>
        <v>09127062</v>
      </c>
      <c r="B5856" t="s">
        <v>6162</v>
      </c>
      <c r="C5856" t="s">
        <v>15</v>
      </c>
      <c r="D5856" t="str">
        <f t="shared" si="218"/>
        <v>561380</v>
      </c>
      <c r="E5856" t="s">
        <v>5997</v>
      </c>
      <c r="F5856" t="s">
        <v>65</v>
      </c>
    </row>
    <row r="5857" spans="1:6" x14ac:dyDescent="0.25">
      <c r="A5857" t="str">
        <f>"28553632"</f>
        <v>28553632</v>
      </c>
      <c r="B5857" t="s">
        <v>6163</v>
      </c>
      <c r="C5857" t="s">
        <v>7</v>
      </c>
      <c r="D5857" t="str">
        <f t="shared" si="218"/>
        <v>561380</v>
      </c>
      <c r="E5857" t="s">
        <v>5997</v>
      </c>
      <c r="F5857" t="s">
        <v>9</v>
      </c>
    </row>
    <row r="5858" spans="1:6" x14ac:dyDescent="0.25">
      <c r="A5858" t="str">
        <f>"07146655"</f>
        <v>07146655</v>
      </c>
      <c r="B5858" t="s">
        <v>6164</v>
      </c>
      <c r="C5858" t="s">
        <v>7</v>
      </c>
      <c r="D5858" t="str">
        <f t="shared" si="218"/>
        <v>561380</v>
      </c>
      <c r="E5858" t="s">
        <v>5997</v>
      </c>
      <c r="F5858" t="s">
        <v>62</v>
      </c>
    </row>
    <row r="5859" spans="1:6" x14ac:dyDescent="0.25">
      <c r="A5859" t="str">
        <f>"07826290"</f>
        <v>07826290</v>
      </c>
      <c r="B5859" t="s">
        <v>6165</v>
      </c>
      <c r="C5859" t="s">
        <v>7</v>
      </c>
      <c r="D5859" t="str">
        <f t="shared" si="218"/>
        <v>561380</v>
      </c>
      <c r="E5859" t="s">
        <v>5997</v>
      </c>
      <c r="F5859" t="s">
        <v>11</v>
      </c>
    </row>
    <row r="5860" spans="1:6" x14ac:dyDescent="0.25">
      <c r="A5860" t="str">
        <f>"70897891"</f>
        <v>70897891</v>
      </c>
      <c r="B5860" t="s">
        <v>6166</v>
      </c>
      <c r="C5860" t="s">
        <v>7</v>
      </c>
      <c r="D5860" t="str">
        <f t="shared" si="218"/>
        <v>561380</v>
      </c>
      <c r="E5860" t="s">
        <v>5997</v>
      </c>
      <c r="F5860" t="s">
        <v>11</v>
      </c>
    </row>
    <row r="5861" spans="1:6" x14ac:dyDescent="0.25">
      <c r="A5861" t="str">
        <f>"26574233"</f>
        <v>26574233</v>
      </c>
      <c r="B5861" t="s">
        <v>6167</v>
      </c>
      <c r="C5861" t="s">
        <v>7</v>
      </c>
      <c r="D5861" t="str">
        <f t="shared" si="218"/>
        <v>561380</v>
      </c>
      <c r="E5861" t="s">
        <v>5997</v>
      </c>
      <c r="F5861" t="s">
        <v>139</v>
      </c>
    </row>
    <row r="5862" spans="1:6" x14ac:dyDescent="0.25">
      <c r="A5862" t="str">
        <f>"03460533"</f>
        <v>03460533</v>
      </c>
      <c r="B5862" t="s">
        <v>6168</v>
      </c>
      <c r="C5862" t="s">
        <v>7</v>
      </c>
      <c r="D5862" t="str">
        <f t="shared" si="218"/>
        <v>561380</v>
      </c>
      <c r="E5862" t="s">
        <v>5997</v>
      </c>
      <c r="F5862" t="s">
        <v>11</v>
      </c>
    </row>
    <row r="5863" spans="1:6" x14ac:dyDescent="0.25">
      <c r="A5863" t="str">
        <f>"06519598"</f>
        <v>06519598</v>
      </c>
      <c r="B5863" t="s">
        <v>6169</v>
      </c>
      <c r="C5863" t="s">
        <v>7</v>
      </c>
      <c r="D5863" t="str">
        <f t="shared" si="218"/>
        <v>561380</v>
      </c>
      <c r="E5863" t="s">
        <v>5997</v>
      </c>
      <c r="F5863" t="s">
        <v>62</v>
      </c>
    </row>
    <row r="5864" spans="1:6" x14ac:dyDescent="0.25">
      <c r="A5864" t="str">
        <f>"22738657"</f>
        <v>22738657</v>
      </c>
      <c r="B5864" t="s">
        <v>6170</v>
      </c>
      <c r="C5864" t="s">
        <v>7</v>
      </c>
      <c r="D5864" t="str">
        <f t="shared" si="218"/>
        <v>561380</v>
      </c>
      <c r="E5864" t="s">
        <v>5997</v>
      </c>
      <c r="F5864" t="s">
        <v>139</v>
      </c>
    </row>
    <row r="5865" spans="1:6" x14ac:dyDescent="0.25">
      <c r="A5865" t="str">
        <f>"22831312"</f>
        <v>22831312</v>
      </c>
      <c r="B5865" t="s">
        <v>6171</v>
      </c>
      <c r="C5865" t="s">
        <v>7</v>
      </c>
      <c r="D5865" t="str">
        <f t="shared" si="218"/>
        <v>561380</v>
      </c>
      <c r="E5865" t="s">
        <v>5997</v>
      </c>
      <c r="F5865" t="s">
        <v>11</v>
      </c>
    </row>
    <row r="5866" spans="1:6" x14ac:dyDescent="0.25">
      <c r="A5866" t="str">
        <f>"22862242"</f>
        <v>22862242</v>
      </c>
      <c r="B5866" t="s">
        <v>6172</v>
      </c>
      <c r="C5866" t="s">
        <v>7</v>
      </c>
      <c r="D5866" t="str">
        <f t="shared" si="218"/>
        <v>561380</v>
      </c>
      <c r="E5866" t="s">
        <v>5997</v>
      </c>
      <c r="F5866" t="s">
        <v>11</v>
      </c>
    </row>
    <row r="5867" spans="1:6" x14ac:dyDescent="0.25">
      <c r="A5867" t="str">
        <f>"22666354"</f>
        <v>22666354</v>
      </c>
      <c r="B5867" t="s">
        <v>6173</v>
      </c>
      <c r="C5867" t="s">
        <v>7</v>
      </c>
      <c r="D5867" t="str">
        <f t="shared" si="218"/>
        <v>561380</v>
      </c>
      <c r="E5867" t="s">
        <v>5997</v>
      </c>
      <c r="F5867" t="s">
        <v>11</v>
      </c>
    </row>
    <row r="5868" spans="1:6" x14ac:dyDescent="0.25">
      <c r="A5868" t="str">
        <f>"26618401"</f>
        <v>26618401</v>
      </c>
      <c r="B5868" t="s">
        <v>6174</v>
      </c>
      <c r="C5868" t="s">
        <v>7</v>
      </c>
      <c r="D5868" t="str">
        <f t="shared" si="218"/>
        <v>561380</v>
      </c>
      <c r="E5868" t="s">
        <v>5997</v>
      </c>
      <c r="F5868" t="s">
        <v>9</v>
      </c>
    </row>
    <row r="5869" spans="1:6" x14ac:dyDescent="0.25">
      <c r="A5869" t="str">
        <f>"01928171"</f>
        <v>01928171</v>
      </c>
      <c r="B5869" t="s">
        <v>6175</v>
      </c>
      <c r="C5869" t="s">
        <v>7</v>
      </c>
      <c r="D5869" t="str">
        <f t="shared" si="218"/>
        <v>561380</v>
      </c>
      <c r="E5869" t="s">
        <v>5997</v>
      </c>
      <c r="F5869" t="s">
        <v>38</v>
      </c>
    </row>
    <row r="5870" spans="1:6" x14ac:dyDescent="0.25">
      <c r="A5870" t="str">
        <f>"63778190"</f>
        <v>63778190</v>
      </c>
      <c r="B5870" t="s">
        <v>6176</v>
      </c>
      <c r="C5870" t="s">
        <v>7</v>
      </c>
      <c r="D5870" t="str">
        <f t="shared" si="218"/>
        <v>561380</v>
      </c>
      <c r="E5870" t="s">
        <v>5997</v>
      </c>
      <c r="F5870" t="s">
        <v>38</v>
      </c>
    </row>
    <row r="5871" spans="1:6" x14ac:dyDescent="0.25">
      <c r="A5871" t="str">
        <f>"08371865"</f>
        <v>08371865</v>
      </c>
      <c r="B5871" t="s">
        <v>6177</v>
      </c>
      <c r="C5871" t="s">
        <v>7</v>
      </c>
      <c r="D5871" t="str">
        <f t="shared" si="218"/>
        <v>561380</v>
      </c>
      <c r="E5871" t="s">
        <v>5997</v>
      </c>
      <c r="F5871" t="s">
        <v>2115</v>
      </c>
    </row>
    <row r="5872" spans="1:6" x14ac:dyDescent="0.25">
      <c r="A5872" t="str">
        <f>"62237608"</f>
        <v>62237608</v>
      </c>
      <c r="B5872" t="s">
        <v>6178</v>
      </c>
      <c r="C5872" t="s">
        <v>7</v>
      </c>
      <c r="D5872" t="str">
        <f t="shared" si="218"/>
        <v>561380</v>
      </c>
      <c r="E5872" t="s">
        <v>5997</v>
      </c>
      <c r="F5872" t="s">
        <v>38</v>
      </c>
    </row>
    <row r="5873" spans="1:6" x14ac:dyDescent="0.25">
      <c r="A5873" t="str">
        <f>"01999729"</f>
        <v>01999729</v>
      </c>
      <c r="B5873" t="s">
        <v>6179</v>
      </c>
      <c r="C5873" t="s">
        <v>7</v>
      </c>
      <c r="D5873" t="str">
        <f t="shared" si="218"/>
        <v>561380</v>
      </c>
      <c r="E5873" t="s">
        <v>5997</v>
      </c>
      <c r="F5873" t="s">
        <v>38</v>
      </c>
    </row>
    <row r="5874" spans="1:6" x14ac:dyDescent="0.25">
      <c r="A5874" t="str">
        <f>"69388652"</f>
        <v>69388652</v>
      </c>
      <c r="B5874" t="s">
        <v>6180</v>
      </c>
      <c r="C5874" t="s">
        <v>7</v>
      </c>
      <c r="D5874" t="str">
        <f t="shared" si="218"/>
        <v>561380</v>
      </c>
      <c r="E5874" t="s">
        <v>5997</v>
      </c>
      <c r="F5874" t="s">
        <v>38</v>
      </c>
    </row>
    <row r="5875" spans="1:6" x14ac:dyDescent="0.25">
      <c r="A5875" t="str">
        <f>"48282031"</f>
        <v>48282031</v>
      </c>
      <c r="B5875" t="s">
        <v>6181</v>
      </c>
      <c r="C5875" t="s">
        <v>7</v>
      </c>
      <c r="D5875" t="str">
        <f t="shared" si="218"/>
        <v>561380</v>
      </c>
      <c r="E5875" t="s">
        <v>5997</v>
      </c>
      <c r="F5875" t="s">
        <v>38</v>
      </c>
    </row>
    <row r="5876" spans="1:6" x14ac:dyDescent="0.25">
      <c r="A5876" t="str">
        <f>"17558646"</f>
        <v>17558646</v>
      </c>
      <c r="B5876" t="s">
        <v>6182</v>
      </c>
      <c r="C5876" t="s">
        <v>7</v>
      </c>
      <c r="D5876" t="str">
        <f t="shared" si="218"/>
        <v>561380</v>
      </c>
      <c r="E5876" t="s">
        <v>5997</v>
      </c>
      <c r="F5876" t="s">
        <v>38</v>
      </c>
    </row>
    <row r="5877" spans="1:6" x14ac:dyDescent="0.25">
      <c r="A5877" t="str">
        <f>"48282227"</f>
        <v>48282227</v>
      </c>
      <c r="B5877" t="s">
        <v>6183</v>
      </c>
      <c r="C5877" t="s">
        <v>7</v>
      </c>
      <c r="D5877" t="str">
        <f t="shared" si="218"/>
        <v>561380</v>
      </c>
      <c r="E5877" t="s">
        <v>5997</v>
      </c>
      <c r="F5877" t="s">
        <v>38</v>
      </c>
    </row>
    <row r="5878" spans="1:6" x14ac:dyDescent="0.25">
      <c r="A5878" t="str">
        <f>"46750720"</f>
        <v>46750720</v>
      </c>
      <c r="B5878" t="s">
        <v>6184</v>
      </c>
      <c r="C5878" t="s">
        <v>7</v>
      </c>
      <c r="D5878" t="str">
        <f t="shared" si="218"/>
        <v>561380</v>
      </c>
      <c r="E5878" t="s">
        <v>5997</v>
      </c>
      <c r="F5878" t="s">
        <v>38</v>
      </c>
    </row>
    <row r="5879" spans="1:6" x14ac:dyDescent="0.25">
      <c r="A5879" t="str">
        <f>"48282626"</f>
        <v>48282626</v>
      </c>
      <c r="B5879" t="s">
        <v>6185</v>
      </c>
      <c r="C5879" t="s">
        <v>7</v>
      </c>
      <c r="D5879" t="str">
        <f t="shared" si="218"/>
        <v>561380</v>
      </c>
      <c r="E5879" t="s">
        <v>5997</v>
      </c>
      <c r="F5879" t="s">
        <v>38</v>
      </c>
    </row>
    <row r="5880" spans="1:6" x14ac:dyDescent="0.25">
      <c r="A5880" t="str">
        <f>"48282197"</f>
        <v>48282197</v>
      </c>
      <c r="B5880" t="s">
        <v>6186</v>
      </c>
      <c r="C5880" t="s">
        <v>7</v>
      </c>
      <c r="D5880" t="str">
        <f t="shared" si="218"/>
        <v>561380</v>
      </c>
      <c r="E5880" t="s">
        <v>5997</v>
      </c>
      <c r="F5880" t="s">
        <v>38</v>
      </c>
    </row>
    <row r="5881" spans="1:6" x14ac:dyDescent="0.25">
      <c r="A5881" t="str">
        <f>"22726471"</f>
        <v>22726471</v>
      </c>
      <c r="B5881" t="s">
        <v>6187</v>
      </c>
      <c r="C5881" t="s">
        <v>7</v>
      </c>
      <c r="D5881" t="str">
        <f t="shared" si="218"/>
        <v>561380</v>
      </c>
      <c r="E5881" t="s">
        <v>5997</v>
      </c>
      <c r="F5881" t="s">
        <v>11</v>
      </c>
    </row>
    <row r="5882" spans="1:6" x14ac:dyDescent="0.25">
      <c r="A5882" t="str">
        <f>"63778459"</f>
        <v>63778459</v>
      </c>
      <c r="B5882" t="s">
        <v>6188</v>
      </c>
      <c r="C5882" t="s">
        <v>43</v>
      </c>
      <c r="D5882" t="str">
        <f t="shared" si="218"/>
        <v>561380</v>
      </c>
      <c r="E5882" t="s">
        <v>5997</v>
      </c>
      <c r="F5882" t="s">
        <v>44</v>
      </c>
    </row>
    <row r="5883" spans="1:6" x14ac:dyDescent="0.25">
      <c r="A5883" t="str">
        <f>"09825002"</f>
        <v>09825002</v>
      </c>
      <c r="B5883" t="s">
        <v>6189</v>
      </c>
      <c r="C5883" t="s">
        <v>124</v>
      </c>
      <c r="D5883" t="str">
        <f t="shared" ref="D5883:D5946" si="219">"561380"</f>
        <v>561380</v>
      </c>
      <c r="E5883" t="s">
        <v>5997</v>
      </c>
      <c r="F5883" t="s">
        <v>13</v>
      </c>
    </row>
    <row r="5884" spans="1:6" x14ac:dyDescent="0.25">
      <c r="A5884" t="str">
        <f>"03657621"</f>
        <v>03657621</v>
      </c>
      <c r="B5884" t="s">
        <v>6190</v>
      </c>
      <c r="C5884" t="s">
        <v>124</v>
      </c>
      <c r="D5884" t="str">
        <f t="shared" si="219"/>
        <v>561380</v>
      </c>
      <c r="E5884" t="s">
        <v>5997</v>
      </c>
      <c r="F5884" t="s">
        <v>11</v>
      </c>
    </row>
    <row r="5885" spans="1:6" x14ac:dyDescent="0.25">
      <c r="A5885" t="str">
        <f>"02970261"</f>
        <v>02970261</v>
      </c>
      <c r="B5885" t="s">
        <v>6191</v>
      </c>
      <c r="C5885" t="s">
        <v>124</v>
      </c>
      <c r="D5885" t="str">
        <f t="shared" si="219"/>
        <v>561380</v>
      </c>
      <c r="E5885" t="s">
        <v>5997</v>
      </c>
      <c r="F5885" t="s">
        <v>496</v>
      </c>
    </row>
    <row r="5886" spans="1:6" x14ac:dyDescent="0.25">
      <c r="A5886" t="str">
        <f>"68455020"</f>
        <v>68455020</v>
      </c>
      <c r="B5886" t="s">
        <v>6192</v>
      </c>
      <c r="C5886" t="s">
        <v>7</v>
      </c>
      <c r="D5886" t="str">
        <f t="shared" si="219"/>
        <v>561380</v>
      </c>
      <c r="E5886" t="s">
        <v>5997</v>
      </c>
      <c r="F5886" t="s">
        <v>11</v>
      </c>
    </row>
    <row r="5887" spans="1:6" x14ac:dyDescent="0.25">
      <c r="A5887" t="str">
        <f>"27043398"</f>
        <v>27043398</v>
      </c>
      <c r="B5887" t="s">
        <v>6193</v>
      </c>
      <c r="C5887" t="s">
        <v>20</v>
      </c>
      <c r="D5887" t="str">
        <f t="shared" si="219"/>
        <v>561380</v>
      </c>
      <c r="E5887" t="s">
        <v>5997</v>
      </c>
      <c r="F5887" t="s">
        <v>21</v>
      </c>
    </row>
    <row r="5888" spans="1:6" x14ac:dyDescent="0.25">
      <c r="A5888" t="str">
        <f>"01215051"</f>
        <v>01215051</v>
      </c>
      <c r="B5888" t="s">
        <v>6194</v>
      </c>
      <c r="C5888" t="s">
        <v>20</v>
      </c>
      <c r="D5888" t="str">
        <f t="shared" si="219"/>
        <v>561380</v>
      </c>
      <c r="E5888" t="s">
        <v>5997</v>
      </c>
      <c r="F5888" t="s">
        <v>21</v>
      </c>
    </row>
    <row r="5889" spans="1:6" x14ac:dyDescent="0.25">
      <c r="A5889" t="str">
        <f>"70823103"</f>
        <v>70823103</v>
      </c>
      <c r="B5889" t="s">
        <v>6195</v>
      </c>
      <c r="C5889" t="s">
        <v>7</v>
      </c>
      <c r="D5889" t="str">
        <f t="shared" si="219"/>
        <v>561380</v>
      </c>
      <c r="E5889" t="s">
        <v>5997</v>
      </c>
      <c r="F5889" t="s">
        <v>11</v>
      </c>
    </row>
    <row r="5890" spans="1:6" x14ac:dyDescent="0.25">
      <c r="A5890" t="str">
        <f>"49864050"</f>
        <v>49864050</v>
      </c>
      <c r="B5890" t="s">
        <v>6196</v>
      </c>
      <c r="C5890" t="s">
        <v>7</v>
      </c>
      <c r="D5890" t="str">
        <f t="shared" si="219"/>
        <v>561380</v>
      </c>
      <c r="E5890" t="s">
        <v>5997</v>
      </c>
      <c r="F5890" t="s">
        <v>381</v>
      </c>
    </row>
    <row r="5891" spans="1:6" x14ac:dyDescent="0.25">
      <c r="A5891" t="str">
        <f>"26529769"</f>
        <v>26529769</v>
      </c>
      <c r="B5891" t="s">
        <v>6197</v>
      </c>
      <c r="C5891" t="s">
        <v>7</v>
      </c>
      <c r="D5891" t="str">
        <f t="shared" si="219"/>
        <v>561380</v>
      </c>
      <c r="E5891" t="s">
        <v>5997</v>
      </c>
      <c r="F5891" t="s">
        <v>11</v>
      </c>
    </row>
    <row r="5892" spans="1:6" x14ac:dyDescent="0.25">
      <c r="A5892" t="str">
        <f>"75144638"</f>
        <v>75144638</v>
      </c>
      <c r="B5892" t="s">
        <v>6198</v>
      </c>
      <c r="C5892" t="s">
        <v>15</v>
      </c>
      <c r="D5892" t="str">
        <f t="shared" si="219"/>
        <v>561380</v>
      </c>
      <c r="E5892" t="s">
        <v>5997</v>
      </c>
      <c r="F5892" t="s">
        <v>29</v>
      </c>
    </row>
    <row r="5893" spans="1:6" x14ac:dyDescent="0.25">
      <c r="A5893" t="str">
        <f>"06751083"</f>
        <v>06751083</v>
      </c>
      <c r="B5893" t="s">
        <v>6199</v>
      </c>
      <c r="C5893" t="s">
        <v>7</v>
      </c>
      <c r="D5893" t="str">
        <f t="shared" si="219"/>
        <v>561380</v>
      </c>
      <c r="E5893" t="s">
        <v>5997</v>
      </c>
      <c r="F5893" t="s">
        <v>11</v>
      </c>
    </row>
    <row r="5894" spans="1:6" x14ac:dyDescent="0.25">
      <c r="A5894" t="str">
        <f>"27033171"</f>
        <v>27033171</v>
      </c>
      <c r="B5894" t="s">
        <v>6200</v>
      </c>
      <c r="C5894" t="s">
        <v>7</v>
      </c>
      <c r="D5894" t="str">
        <f t="shared" si="219"/>
        <v>561380</v>
      </c>
      <c r="E5894" t="s">
        <v>5997</v>
      </c>
      <c r="F5894" t="s">
        <v>11</v>
      </c>
    </row>
    <row r="5895" spans="1:6" x14ac:dyDescent="0.25">
      <c r="A5895" t="str">
        <f>"01471341"</f>
        <v>01471341</v>
      </c>
      <c r="B5895" t="s">
        <v>6201</v>
      </c>
      <c r="C5895" t="s">
        <v>7</v>
      </c>
      <c r="D5895" t="str">
        <f t="shared" si="219"/>
        <v>561380</v>
      </c>
      <c r="E5895" t="s">
        <v>5997</v>
      </c>
      <c r="F5895" t="s">
        <v>11</v>
      </c>
    </row>
    <row r="5896" spans="1:6" x14ac:dyDescent="0.25">
      <c r="A5896" t="str">
        <f>"22881557"</f>
        <v>22881557</v>
      </c>
      <c r="B5896" t="s">
        <v>6202</v>
      </c>
      <c r="C5896" t="s">
        <v>7</v>
      </c>
      <c r="D5896" t="str">
        <f t="shared" si="219"/>
        <v>561380</v>
      </c>
      <c r="E5896" t="s">
        <v>5997</v>
      </c>
      <c r="F5896" t="s">
        <v>18</v>
      </c>
    </row>
    <row r="5897" spans="1:6" x14ac:dyDescent="0.25">
      <c r="A5897" t="str">
        <f>"26575434"</f>
        <v>26575434</v>
      </c>
      <c r="B5897" t="s">
        <v>6203</v>
      </c>
      <c r="C5897" t="s">
        <v>7</v>
      </c>
      <c r="D5897" t="str">
        <f t="shared" si="219"/>
        <v>561380</v>
      </c>
      <c r="E5897" t="s">
        <v>5997</v>
      </c>
      <c r="F5897" t="s">
        <v>11</v>
      </c>
    </row>
    <row r="5898" spans="1:6" x14ac:dyDescent="0.25">
      <c r="A5898" t="str">
        <f>"48282847"</f>
        <v>48282847</v>
      </c>
      <c r="B5898" t="s">
        <v>6204</v>
      </c>
      <c r="C5898" t="s">
        <v>15</v>
      </c>
      <c r="D5898" t="str">
        <f t="shared" si="219"/>
        <v>561380</v>
      </c>
      <c r="E5898" t="s">
        <v>5997</v>
      </c>
      <c r="F5898" t="s">
        <v>29</v>
      </c>
    </row>
    <row r="5899" spans="1:6" x14ac:dyDescent="0.25">
      <c r="A5899" t="str">
        <f>"08436843"</f>
        <v>08436843</v>
      </c>
      <c r="B5899" t="s">
        <v>6205</v>
      </c>
      <c r="C5899" t="s">
        <v>7</v>
      </c>
      <c r="D5899" t="str">
        <f t="shared" si="219"/>
        <v>561380</v>
      </c>
      <c r="E5899" t="s">
        <v>5997</v>
      </c>
      <c r="F5899" t="s">
        <v>11</v>
      </c>
    </row>
    <row r="5900" spans="1:6" x14ac:dyDescent="0.25">
      <c r="A5900" t="str">
        <f>"23001674"</f>
        <v>23001674</v>
      </c>
      <c r="B5900" t="s">
        <v>6206</v>
      </c>
      <c r="C5900" t="s">
        <v>20</v>
      </c>
      <c r="D5900" t="str">
        <f t="shared" si="219"/>
        <v>561380</v>
      </c>
      <c r="E5900" t="s">
        <v>5997</v>
      </c>
      <c r="F5900" t="s">
        <v>21</v>
      </c>
    </row>
    <row r="5901" spans="1:6" x14ac:dyDescent="0.25">
      <c r="A5901" t="str">
        <f>"03839311"</f>
        <v>03839311</v>
      </c>
      <c r="B5901" t="s">
        <v>6207</v>
      </c>
      <c r="C5901" t="s">
        <v>20</v>
      </c>
      <c r="D5901" t="str">
        <f t="shared" si="219"/>
        <v>561380</v>
      </c>
      <c r="E5901" t="s">
        <v>5997</v>
      </c>
      <c r="F5901" t="s">
        <v>21</v>
      </c>
    </row>
    <row r="5902" spans="1:6" x14ac:dyDescent="0.25">
      <c r="A5902" t="str">
        <f>"22885382"</f>
        <v>22885382</v>
      </c>
      <c r="B5902" t="s">
        <v>6208</v>
      </c>
      <c r="C5902" t="s">
        <v>20</v>
      </c>
      <c r="D5902" t="str">
        <f t="shared" si="219"/>
        <v>561380</v>
      </c>
      <c r="E5902" t="s">
        <v>5997</v>
      </c>
      <c r="F5902" t="s">
        <v>21</v>
      </c>
    </row>
    <row r="5903" spans="1:6" x14ac:dyDescent="0.25">
      <c r="A5903" t="str">
        <f>"62237471"</f>
        <v>62237471</v>
      </c>
      <c r="B5903" t="s">
        <v>6209</v>
      </c>
      <c r="C5903" t="s">
        <v>20</v>
      </c>
      <c r="D5903" t="str">
        <f t="shared" si="219"/>
        <v>561380</v>
      </c>
      <c r="E5903" t="s">
        <v>5997</v>
      </c>
      <c r="F5903" t="s">
        <v>21</v>
      </c>
    </row>
    <row r="5904" spans="1:6" x14ac:dyDescent="0.25">
      <c r="A5904" t="str">
        <f>"62237683"</f>
        <v>62237683</v>
      </c>
      <c r="B5904" t="s">
        <v>6210</v>
      </c>
      <c r="C5904" t="s">
        <v>20</v>
      </c>
      <c r="D5904" t="str">
        <f t="shared" si="219"/>
        <v>561380</v>
      </c>
      <c r="E5904" t="s">
        <v>5997</v>
      </c>
      <c r="F5904" t="s">
        <v>21</v>
      </c>
    </row>
    <row r="5905" spans="1:6" x14ac:dyDescent="0.25">
      <c r="A5905" t="str">
        <f>"04286090"</f>
        <v>04286090</v>
      </c>
      <c r="B5905" t="s">
        <v>6211</v>
      </c>
      <c r="C5905" t="s">
        <v>15</v>
      </c>
      <c r="D5905" t="str">
        <f t="shared" si="219"/>
        <v>561380</v>
      </c>
      <c r="E5905" t="s">
        <v>5997</v>
      </c>
      <c r="F5905" t="s">
        <v>35</v>
      </c>
    </row>
    <row r="5906" spans="1:6" x14ac:dyDescent="0.25">
      <c r="A5906" t="str">
        <f>"02176327"</f>
        <v>02176327</v>
      </c>
      <c r="B5906" t="s">
        <v>6212</v>
      </c>
      <c r="C5906" t="s">
        <v>7</v>
      </c>
      <c r="D5906" t="str">
        <f t="shared" si="219"/>
        <v>561380</v>
      </c>
      <c r="E5906" t="s">
        <v>5997</v>
      </c>
      <c r="F5906" t="s">
        <v>11</v>
      </c>
    </row>
    <row r="5907" spans="1:6" x14ac:dyDescent="0.25">
      <c r="A5907" t="str">
        <f>"27049124"</f>
        <v>27049124</v>
      </c>
      <c r="B5907" t="s">
        <v>6213</v>
      </c>
      <c r="C5907" t="s">
        <v>7</v>
      </c>
      <c r="D5907" t="str">
        <f t="shared" si="219"/>
        <v>561380</v>
      </c>
      <c r="E5907" t="s">
        <v>5997</v>
      </c>
      <c r="F5907" t="s">
        <v>9</v>
      </c>
    </row>
    <row r="5908" spans="1:6" x14ac:dyDescent="0.25">
      <c r="A5908" t="str">
        <f>"01555243"</f>
        <v>01555243</v>
      </c>
      <c r="B5908" t="s">
        <v>6214</v>
      </c>
      <c r="C5908" t="s">
        <v>15</v>
      </c>
      <c r="D5908" t="str">
        <f t="shared" si="219"/>
        <v>561380</v>
      </c>
      <c r="E5908" t="s">
        <v>5997</v>
      </c>
      <c r="F5908" t="s">
        <v>9</v>
      </c>
    </row>
    <row r="5909" spans="1:6" x14ac:dyDescent="0.25">
      <c r="A5909" t="str">
        <f>"09126945"</f>
        <v>09126945</v>
      </c>
      <c r="B5909" t="s">
        <v>6215</v>
      </c>
      <c r="C5909" t="s">
        <v>15</v>
      </c>
      <c r="D5909" t="str">
        <f t="shared" si="219"/>
        <v>561380</v>
      </c>
      <c r="E5909" t="s">
        <v>5997</v>
      </c>
      <c r="F5909" t="s">
        <v>65</v>
      </c>
    </row>
    <row r="5910" spans="1:6" x14ac:dyDescent="0.25">
      <c r="A5910" t="str">
        <f>"03780449"</f>
        <v>03780449</v>
      </c>
      <c r="B5910" t="s">
        <v>6216</v>
      </c>
      <c r="C5910" t="s">
        <v>15</v>
      </c>
      <c r="D5910" t="str">
        <f t="shared" si="219"/>
        <v>561380</v>
      </c>
      <c r="E5910" t="s">
        <v>5997</v>
      </c>
      <c r="F5910" t="s">
        <v>9</v>
      </c>
    </row>
    <row r="5911" spans="1:6" x14ac:dyDescent="0.25">
      <c r="A5911" t="str">
        <f>"03866602"</f>
        <v>03866602</v>
      </c>
      <c r="B5911" t="s">
        <v>6217</v>
      </c>
      <c r="C5911" t="s">
        <v>20</v>
      </c>
      <c r="D5911" t="str">
        <f t="shared" si="219"/>
        <v>561380</v>
      </c>
      <c r="E5911" t="s">
        <v>5997</v>
      </c>
      <c r="F5911" t="s">
        <v>21</v>
      </c>
    </row>
    <row r="5912" spans="1:6" x14ac:dyDescent="0.25">
      <c r="A5912" t="str">
        <f>"07723041"</f>
        <v>07723041</v>
      </c>
      <c r="B5912" t="s">
        <v>6218</v>
      </c>
      <c r="C5912" t="s">
        <v>20</v>
      </c>
      <c r="D5912" t="str">
        <f t="shared" si="219"/>
        <v>561380</v>
      </c>
      <c r="E5912" t="s">
        <v>5997</v>
      </c>
      <c r="F5912" t="s">
        <v>21</v>
      </c>
    </row>
    <row r="5913" spans="1:6" x14ac:dyDescent="0.25">
      <c r="A5913" t="str">
        <f>"63778530"</f>
        <v>63778530</v>
      </c>
      <c r="B5913" t="s">
        <v>6219</v>
      </c>
      <c r="C5913" t="s">
        <v>7</v>
      </c>
      <c r="D5913" t="str">
        <f t="shared" si="219"/>
        <v>561380</v>
      </c>
      <c r="E5913" t="s">
        <v>5997</v>
      </c>
      <c r="F5913" t="s">
        <v>35</v>
      </c>
    </row>
    <row r="5914" spans="1:6" x14ac:dyDescent="0.25">
      <c r="A5914" t="str">
        <f>"49888170"</f>
        <v>49888170</v>
      </c>
      <c r="B5914" t="s">
        <v>6220</v>
      </c>
      <c r="C5914" t="s">
        <v>7</v>
      </c>
      <c r="D5914" t="str">
        <f t="shared" si="219"/>
        <v>561380</v>
      </c>
      <c r="E5914" t="s">
        <v>5997</v>
      </c>
      <c r="F5914" t="s">
        <v>9</v>
      </c>
    </row>
    <row r="5915" spans="1:6" x14ac:dyDescent="0.25">
      <c r="A5915" t="str">
        <f>"46750711"</f>
        <v>46750711</v>
      </c>
      <c r="B5915" t="s">
        <v>6221</v>
      </c>
      <c r="C5915" t="s">
        <v>7</v>
      </c>
      <c r="D5915" t="str">
        <f t="shared" si="219"/>
        <v>561380</v>
      </c>
      <c r="E5915" t="s">
        <v>5997</v>
      </c>
      <c r="F5915" t="s">
        <v>9</v>
      </c>
    </row>
    <row r="5916" spans="1:6" x14ac:dyDescent="0.25">
      <c r="A5916" t="str">
        <f>"27022412"</f>
        <v>27022412</v>
      </c>
      <c r="B5916" t="s">
        <v>6222</v>
      </c>
      <c r="C5916" t="s">
        <v>7</v>
      </c>
      <c r="D5916" t="str">
        <f t="shared" si="219"/>
        <v>561380</v>
      </c>
      <c r="E5916" t="s">
        <v>5997</v>
      </c>
      <c r="F5916" t="s">
        <v>9</v>
      </c>
    </row>
    <row r="5917" spans="1:6" x14ac:dyDescent="0.25">
      <c r="A5917" t="str">
        <f>"26654415"</f>
        <v>26654415</v>
      </c>
      <c r="B5917" t="s">
        <v>6223</v>
      </c>
      <c r="C5917" t="s">
        <v>7</v>
      </c>
      <c r="D5917" t="str">
        <f t="shared" si="219"/>
        <v>561380</v>
      </c>
      <c r="E5917" t="s">
        <v>5997</v>
      </c>
      <c r="F5917" t="s">
        <v>11</v>
      </c>
    </row>
    <row r="5918" spans="1:6" x14ac:dyDescent="0.25">
      <c r="A5918" t="str">
        <f>"03628701"</f>
        <v>03628701</v>
      </c>
      <c r="B5918" t="s">
        <v>6224</v>
      </c>
      <c r="C5918" t="s">
        <v>7</v>
      </c>
      <c r="D5918" t="str">
        <f t="shared" si="219"/>
        <v>561380</v>
      </c>
      <c r="E5918" t="s">
        <v>5997</v>
      </c>
      <c r="F5918" t="s">
        <v>13</v>
      </c>
    </row>
    <row r="5919" spans="1:6" x14ac:dyDescent="0.25">
      <c r="A5919" t="str">
        <f>"04955382"</f>
        <v>04955382</v>
      </c>
      <c r="B5919" t="s">
        <v>6225</v>
      </c>
      <c r="C5919" t="s">
        <v>7</v>
      </c>
      <c r="D5919" t="str">
        <f t="shared" si="219"/>
        <v>561380</v>
      </c>
      <c r="E5919" t="s">
        <v>5997</v>
      </c>
      <c r="F5919" t="s">
        <v>11</v>
      </c>
    </row>
    <row r="5920" spans="1:6" x14ac:dyDescent="0.25">
      <c r="A5920" t="str">
        <f>"22845194"</f>
        <v>22845194</v>
      </c>
      <c r="B5920" t="s">
        <v>6226</v>
      </c>
      <c r="C5920" t="s">
        <v>7</v>
      </c>
      <c r="D5920" t="str">
        <f t="shared" si="219"/>
        <v>561380</v>
      </c>
      <c r="E5920" t="s">
        <v>5997</v>
      </c>
      <c r="F5920" t="s">
        <v>11</v>
      </c>
    </row>
    <row r="5921" spans="1:6" x14ac:dyDescent="0.25">
      <c r="A5921" t="str">
        <f>"71245758"</f>
        <v>71245758</v>
      </c>
      <c r="B5921" t="s">
        <v>6227</v>
      </c>
      <c r="C5921" t="s">
        <v>15</v>
      </c>
      <c r="D5921" t="str">
        <f t="shared" si="219"/>
        <v>561380</v>
      </c>
      <c r="E5921" t="s">
        <v>5997</v>
      </c>
      <c r="F5921" t="s">
        <v>139</v>
      </c>
    </row>
    <row r="5922" spans="1:6" x14ac:dyDescent="0.25">
      <c r="A5922" t="str">
        <f>"68983981"</f>
        <v>68983981</v>
      </c>
      <c r="B5922" t="s">
        <v>6228</v>
      </c>
      <c r="C5922" t="s">
        <v>7</v>
      </c>
      <c r="D5922" t="str">
        <f t="shared" si="219"/>
        <v>561380</v>
      </c>
      <c r="E5922" t="s">
        <v>5997</v>
      </c>
      <c r="F5922" t="s">
        <v>35</v>
      </c>
    </row>
    <row r="5923" spans="1:6" x14ac:dyDescent="0.25">
      <c r="A5923" t="str">
        <f>"22872574"</f>
        <v>22872574</v>
      </c>
      <c r="B5923" t="s">
        <v>6229</v>
      </c>
      <c r="C5923" t="s">
        <v>7</v>
      </c>
      <c r="D5923" t="str">
        <f t="shared" si="219"/>
        <v>561380</v>
      </c>
      <c r="E5923" t="s">
        <v>5997</v>
      </c>
      <c r="F5923" t="s">
        <v>35</v>
      </c>
    </row>
    <row r="5924" spans="1:6" x14ac:dyDescent="0.25">
      <c r="A5924" t="str">
        <f>"05786185"</f>
        <v>05786185</v>
      </c>
      <c r="B5924" t="s">
        <v>6230</v>
      </c>
      <c r="C5924" t="s">
        <v>7</v>
      </c>
      <c r="D5924" t="str">
        <f t="shared" si="219"/>
        <v>561380</v>
      </c>
      <c r="E5924" t="s">
        <v>5997</v>
      </c>
      <c r="F5924" t="s">
        <v>21</v>
      </c>
    </row>
    <row r="5925" spans="1:6" x14ac:dyDescent="0.25">
      <c r="A5925" t="str">
        <f>"26566630"</f>
        <v>26566630</v>
      </c>
      <c r="B5925" t="s">
        <v>6231</v>
      </c>
      <c r="C5925" t="s">
        <v>7</v>
      </c>
      <c r="D5925" t="str">
        <f t="shared" si="219"/>
        <v>561380</v>
      </c>
      <c r="E5925" t="s">
        <v>5997</v>
      </c>
      <c r="F5925" t="s">
        <v>11</v>
      </c>
    </row>
    <row r="5926" spans="1:6" x14ac:dyDescent="0.25">
      <c r="A5926" t="str">
        <f>"26565544"</f>
        <v>26565544</v>
      </c>
      <c r="B5926" t="s">
        <v>6232</v>
      </c>
      <c r="C5926" t="s">
        <v>7</v>
      </c>
      <c r="D5926" t="str">
        <f t="shared" si="219"/>
        <v>561380</v>
      </c>
      <c r="E5926" t="s">
        <v>5997</v>
      </c>
      <c r="F5926" t="s">
        <v>11</v>
      </c>
    </row>
    <row r="5927" spans="1:6" x14ac:dyDescent="0.25">
      <c r="A5927" t="str">
        <f>"69763321"</f>
        <v>69763321</v>
      </c>
      <c r="B5927" t="s">
        <v>6233</v>
      </c>
      <c r="C5927" t="s">
        <v>20</v>
      </c>
      <c r="D5927" t="str">
        <f t="shared" si="219"/>
        <v>561380</v>
      </c>
      <c r="E5927" t="s">
        <v>5997</v>
      </c>
      <c r="F5927" t="s">
        <v>21</v>
      </c>
    </row>
    <row r="5928" spans="1:6" x14ac:dyDescent="0.25">
      <c r="A5928" t="str">
        <f>"28751809"</f>
        <v>28751809</v>
      </c>
      <c r="B5928" t="s">
        <v>6234</v>
      </c>
      <c r="C5928" t="s">
        <v>78</v>
      </c>
      <c r="D5928" t="str">
        <f t="shared" si="219"/>
        <v>561380</v>
      </c>
      <c r="E5928" t="s">
        <v>5997</v>
      </c>
      <c r="F5928" t="s">
        <v>2331</v>
      </c>
    </row>
    <row r="5929" spans="1:6" x14ac:dyDescent="0.25">
      <c r="A5929" t="str">
        <f>"06025463"</f>
        <v>06025463</v>
      </c>
      <c r="B5929" t="s">
        <v>6235</v>
      </c>
      <c r="C5929" t="s">
        <v>7</v>
      </c>
      <c r="D5929" t="str">
        <f t="shared" si="219"/>
        <v>561380</v>
      </c>
      <c r="E5929" t="s">
        <v>5997</v>
      </c>
      <c r="F5929" t="s">
        <v>29</v>
      </c>
    </row>
    <row r="5930" spans="1:6" x14ac:dyDescent="0.25">
      <c r="A5930" t="str">
        <f>"70869758"</f>
        <v>70869758</v>
      </c>
      <c r="B5930" t="s">
        <v>6236</v>
      </c>
      <c r="C5930" t="s">
        <v>7</v>
      </c>
      <c r="D5930" t="str">
        <f t="shared" si="219"/>
        <v>561380</v>
      </c>
      <c r="E5930" t="s">
        <v>5997</v>
      </c>
      <c r="F5930" t="s">
        <v>11</v>
      </c>
    </row>
    <row r="5931" spans="1:6" x14ac:dyDescent="0.25">
      <c r="A5931" t="str">
        <f>"63778017"</f>
        <v>63778017</v>
      </c>
      <c r="B5931" t="s">
        <v>6237</v>
      </c>
      <c r="C5931" t="s">
        <v>7</v>
      </c>
      <c r="D5931" t="str">
        <f t="shared" si="219"/>
        <v>561380</v>
      </c>
      <c r="E5931" t="s">
        <v>5997</v>
      </c>
      <c r="F5931" t="s">
        <v>11</v>
      </c>
    </row>
    <row r="5932" spans="1:6" x14ac:dyDescent="0.25">
      <c r="A5932" t="str">
        <f>"70200157"</f>
        <v>70200157</v>
      </c>
      <c r="B5932" t="s">
        <v>6238</v>
      </c>
      <c r="C5932" t="s">
        <v>7</v>
      </c>
      <c r="D5932" t="str">
        <f t="shared" si="219"/>
        <v>561380</v>
      </c>
      <c r="E5932" t="s">
        <v>5997</v>
      </c>
      <c r="F5932" t="s">
        <v>11</v>
      </c>
    </row>
    <row r="5933" spans="1:6" x14ac:dyDescent="0.25">
      <c r="A5933" t="str">
        <f>"70200190"</f>
        <v>70200190</v>
      </c>
      <c r="B5933" t="s">
        <v>6239</v>
      </c>
      <c r="C5933" t="s">
        <v>15</v>
      </c>
      <c r="D5933" t="str">
        <f t="shared" si="219"/>
        <v>561380</v>
      </c>
      <c r="E5933" t="s">
        <v>5997</v>
      </c>
      <c r="F5933" t="s">
        <v>11</v>
      </c>
    </row>
    <row r="5934" spans="1:6" x14ac:dyDescent="0.25">
      <c r="A5934" t="str">
        <f>"72024283"</f>
        <v>72024283</v>
      </c>
      <c r="B5934" t="s">
        <v>6240</v>
      </c>
      <c r="C5934" t="s">
        <v>15</v>
      </c>
      <c r="D5934" t="str">
        <f t="shared" si="219"/>
        <v>561380</v>
      </c>
      <c r="E5934" t="s">
        <v>5997</v>
      </c>
      <c r="F5934" t="s">
        <v>9</v>
      </c>
    </row>
    <row r="5935" spans="1:6" x14ac:dyDescent="0.25">
      <c r="A5935" t="str">
        <f>"02018853"</f>
        <v>02018853</v>
      </c>
      <c r="B5935" t="s">
        <v>6241</v>
      </c>
      <c r="C5935" t="s">
        <v>7</v>
      </c>
      <c r="D5935" t="str">
        <f t="shared" si="219"/>
        <v>561380</v>
      </c>
      <c r="E5935" t="s">
        <v>5997</v>
      </c>
      <c r="F5935" t="s">
        <v>35</v>
      </c>
    </row>
    <row r="5936" spans="1:6" x14ac:dyDescent="0.25">
      <c r="A5936" t="str">
        <f>"09638482"</f>
        <v>09638482</v>
      </c>
      <c r="B5936" t="s">
        <v>6242</v>
      </c>
      <c r="C5936" t="s">
        <v>7</v>
      </c>
      <c r="D5936" t="str">
        <f t="shared" si="219"/>
        <v>561380</v>
      </c>
      <c r="E5936" t="s">
        <v>5997</v>
      </c>
      <c r="F5936" t="s">
        <v>35</v>
      </c>
    </row>
    <row r="5937" spans="1:6" x14ac:dyDescent="0.25">
      <c r="A5937" t="str">
        <f>"02384094"</f>
        <v>02384094</v>
      </c>
      <c r="B5937" t="s">
        <v>6243</v>
      </c>
      <c r="C5937" t="s">
        <v>7</v>
      </c>
      <c r="D5937" t="str">
        <f t="shared" si="219"/>
        <v>561380</v>
      </c>
      <c r="E5937" t="s">
        <v>5997</v>
      </c>
      <c r="F5937" t="s">
        <v>11</v>
      </c>
    </row>
    <row r="5938" spans="1:6" x14ac:dyDescent="0.25">
      <c r="A5938" t="str">
        <f>"07338481"</f>
        <v>07338481</v>
      </c>
      <c r="B5938" t="s">
        <v>6244</v>
      </c>
      <c r="C5938" t="s">
        <v>7</v>
      </c>
      <c r="D5938" t="str">
        <f t="shared" si="219"/>
        <v>561380</v>
      </c>
      <c r="E5938" t="s">
        <v>5997</v>
      </c>
      <c r="F5938" t="s">
        <v>11</v>
      </c>
    </row>
    <row r="5939" spans="1:6" x14ac:dyDescent="0.25">
      <c r="A5939" t="str">
        <f>"07368119"</f>
        <v>07368119</v>
      </c>
      <c r="B5939" t="s">
        <v>6245</v>
      </c>
      <c r="C5939" t="s">
        <v>7</v>
      </c>
      <c r="D5939" t="str">
        <f t="shared" si="219"/>
        <v>561380</v>
      </c>
      <c r="E5939" t="s">
        <v>5997</v>
      </c>
      <c r="F5939" t="s">
        <v>11</v>
      </c>
    </row>
    <row r="5940" spans="1:6" x14ac:dyDescent="0.25">
      <c r="A5940" t="str">
        <f>"22605011"</f>
        <v>22605011</v>
      </c>
      <c r="B5940" t="s">
        <v>6246</v>
      </c>
      <c r="C5940" t="s">
        <v>7</v>
      </c>
      <c r="D5940" t="str">
        <f t="shared" si="219"/>
        <v>561380</v>
      </c>
      <c r="E5940" t="s">
        <v>5997</v>
      </c>
      <c r="F5940" t="s">
        <v>139</v>
      </c>
    </row>
    <row r="5941" spans="1:6" x14ac:dyDescent="0.25">
      <c r="A5941" t="str">
        <f>"26532484"</f>
        <v>26532484</v>
      </c>
      <c r="B5941" t="s">
        <v>6247</v>
      </c>
      <c r="C5941" t="s">
        <v>7</v>
      </c>
      <c r="D5941" t="str">
        <f t="shared" si="219"/>
        <v>561380</v>
      </c>
      <c r="E5941" t="s">
        <v>5997</v>
      </c>
      <c r="F5941" t="s">
        <v>11</v>
      </c>
    </row>
    <row r="5942" spans="1:6" x14ac:dyDescent="0.25">
      <c r="A5942" t="str">
        <f>"26524970"</f>
        <v>26524970</v>
      </c>
      <c r="B5942" t="s">
        <v>6248</v>
      </c>
      <c r="C5942" t="s">
        <v>7</v>
      </c>
      <c r="D5942" t="str">
        <f t="shared" si="219"/>
        <v>561380</v>
      </c>
      <c r="E5942" t="s">
        <v>5997</v>
      </c>
      <c r="F5942" t="s">
        <v>11</v>
      </c>
    </row>
    <row r="5943" spans="1:6" x14ac:dyDescent="0.25">
      <c r="A5943" t="str">
        <f>"22715665"</f>
        <v>22715665</v>
      </c>
      <c r="B5943" t="s">
        <v>6249</v>
      </c>
      <c r="C5943" t="s">
        <v>7</v>
      </c>
      <c r="D5943" t="str">
        <f t="shared" si="219"/>
        <v>561380</v>
      </c>
      <c r="E5943" t="s">
        <v>5997</v>
      </c>
      <c r="F5943" t="s">
        <v>11</v>
      </c>
    </row>
    <row r="5944" spans="1:6" x14ac:dyDescent="0.25">
      <c r="A5944" t="str">
        <f>"23025913"</f>
        <v>23025913</v>
      </c>
      <c r="B5944" t="s">
        <v>6250</v>
      </c>
      <c r="C5944" t="s">
        <v>7</v>
      </c>
      <c r="D5944" t="str">
        <f t="shared" si="219"/>
        <v>561380</v>
      </c>
      <c r="E5944" t="s">
        <v>5997</v>
      </c>
      <c r="F5944" t="s">
        <v>29</v>
      </c>
    </row>
    <row r="5945" spans="1:6" x14ac:dyDescent="0.25">
      <c r="A5945" t="str">
        <f>"26615924"</f>
        <v>26615924</v>
      </c>
      <c r="B5945" t="s">
        <v>6251</v>
      </c>
      <c r="C5945" t="s">
        <v>7</v>
      </c>
      <c r="D5945" t="str">
        <f t="shared" si="219"/>
        <v>561380</v>
      </c>
      <c r="E5945" t="s">
        <v>5997</v>
      </c>
      <c r="F5945" t="s">
        <v>9</v>
      </c>
    </row>
    <row r="5946" spans="1:6" x14ac:dyDescent="0.25">
      <c r="A5946" t="str">
        <f>"07564643"</f>
        <v>07564643</v>
      </c>
      <c r="B5946" t="s">
        <v>6252</v>
      </c>
      <c r="C5946" t="s">
        <v>7</v>
      </c>
      <c r="D5946" t="str">
        <f t="shared" si="219"/>
        <v>561380</v>
      </c>
      <c r="E5946" t="s">
        <v>5997</v>
      </c>
      <c r="F5946" t="s">
        <v>62</v>
      </c>
    </row>
    <row r="5947" spans="1:6" x14ac:dyDescent="0.25">
      <c r="A5947" t="str">
        <f>"48282189"</f>
        <v>48282189</v>
      </c>
      <c r="B5947" t="s">
        <v>6253</v>
      </c>
      <c r="C5947" t="s">
        <v>43</v>
      </c>
      <c r="D5947" t="str">
        <f t="shared" ref="D5947:D6010" si="220">"561380"</f>
        <v>561380</v>
      </c>
      <c r="E5947" t="s">
        <v>5997</v>
      </c>
      <c r="F5947" t="s">
        <v>44</v>
      </c>
    </row>
    <row r="5948" spans="1:6" x14ac:dyDescent="0.25">
      <c r="A5948" t="str">
        <f>"62237802"</f>
        <v>62237802</v>
      </c>
      <c r="B5948" t="s">
        <v>6254</v>
      </c>
      <c r="C5948" t="s">
        <v>43</v>
      </c>
      <c r="D5948" t="str">
        <f t="shared" si="220"/>
        <v>561380</v>
      </c>
      <c r="E5948" t="s">
        <v>5997</v>
      </c>
      <c r="F5948" t="s">
        <v>44</v>
      </c>
    </row>
    <row r="5949" spans="1:6" x14ac:dyDescent="0.25">
      <c r="A5949" t="str">
        <f>"62237811"</f>
        <v>62237811</v>
      </c>
      <c r="B5949" t="s">
        <v>6255</v>
      </c>
      <c r="C5949" t="s">
        <v>43</v>
      </c>
      <c r="D5949" t="str">
        <f t="shared" si="220"/>
        <v>561380</v>
      </c>
      <c r="E5949" t="s">
        <v>5997</v>
      </c>
      <c r="F5949" t="s">
        <v>44</v>
      </c>
    </row>
    <row r="5950" spans="1:6" x14ac:dyDescent="0.25">
      <c r="A5950" t="str">
        <f>"62237829"</f>
        <v>62237829</v>
      </c>
      <c r="B5950" t="s">
        <v>6256</v>
      </c>
      <c r="C5950" t="s">
        <v>43</v>
      </c>
      <c r="D5950" t="str">
        <f t="shared" si="220"/>
        <v>561380</v>
      </c>
      <c r="E5950" t="s">
        <v>5997</v>
      </c>
      <c r="F5950" t="s">
        <v>44</v>
      </c>
    </row>
    <row r="5951" spans="1:6" x14ac:dyDescent="0.25">
      <c r="A5951" t="str">
        <f>"62237861"</f>
        <v>62237861</v>
      </c>
      <c r="B5951" t="s">
        <v>6257</v>
      </c>
      <c r="C5951" t="s">
        <v>43</v>
      </c>
      <c r="D5951" t="str">
        <f t="shared" si="220"/>
        <v>561380</v>
      </c>
      <c r="E5951" t="s">
        <v>5997</v>
      </c>
      <c r="F5951" t="s">
        <v>44</v>
      </c>
    </row>
    <row r="5952" spans="1:6" x14ac:dyDescent="0.25">
      <c r="A5952" t="str">
        <f>"62237853"</f>
        <v>62237853</v>
      </c>
      <c r="B5952" t="s">
        <v>6258</v>
      </c>
      <c r="C5952" t="s">
        <v>43</v>
      </c>
      <c r="D5952" t="str">
        <f t="shared" si="220"/>
        <v>561380</v>
      </c>
      <c r="E5952" t="s">
        <v>5997</v>
      </c>
      <c r="F5952" t="s">
        <v>44</v>
      </c>
    </row>
    <row r="5953" spans="1:6" x14ac:dyDescent="0.25">
      <c r="A5953" t="str">
        <f>"62237845"</f>
        <v>62237845</v>
      </c>
      <c r="B5953" t="s">
        <v>6259</v>
      </c>
      <c r="C5953" t="s">
        <v>43</v>
      </c>
      <c r="D5953" t="str">
        <f t="shared" si="220"/>
        <v>561380</v>
      </c>
      <c r="E5953" t="s">
        <v>5997</v>
      </c>
      <c r="F5953" t="s">
        <v>44</v>
      </c>
    </row>
    <row r="5954" spans="1:6" x14ac:dyDescent="0.25">
      <c r="A5954" t="str">
        <f>"62237837"</f>
        <v>62237837</v>
      </c>
      <c r="B5954" t="s">
        <v>6260</v>
      </c>
      <c r="C5954" t="s">
        <v>43</v>
      </c>
      <c r="D5954" t="str">
        <f t="shared" si="220"/>
        <v>561380</v>
      </c>
      <c r="E5954" t="s">
        <v>5997</v>
      </c>
      <c r="F5954" t="s">
        <v>44</v>
      </c>
    </row>
    <row r="5955" spans="1:6" x14ac:dyDescent="0.25">
      <c r="A5955" t="str">
        <f>"63778637"</f>
        <v>63778637</v>
      </c>
      <c r="B5955" t="s">
        <v>6261</v>
      </c>
      <c r="C5955" t="s">
        <v>43</v>
      </c>
      <c r="D5955" t="str">
        <f t="shared" si="220"/>
        <v>561380</v>
      </c>
      <c r="E5955" t="s">
        <v>5997</v>
      </c>
      <c r="F5955" t="s">
        <v>44</v>
      </c>
    </row>
    <row r="5956" spans="1:6" x14ac:dyDescent="0.25">
      <c r="A5956" t="str">
        <f>"46750517"</f>
        <v>46750517</v>
      </c>
      <c r="B5956" t="s">
        <v>6262</v>
      </c>
      <c r="C5956" t="s">
        <v>43</v>
      </c>
      <c r="D5956" t="str">
        <f t="shared" si="220"/>
        <v>561380</v>
      </c>
      <c r="E5956" t="s">
        <v>5997</v>
      </c>
      <c r="F5956" t="s">
        <v>44</v>
      </c>
    </row>
    <row r="5957" spans="1:6" x14ac:dyDescent="0.25">
      <c r="A5957" t="str">
        <f>"73632333"</f>
        <v>73632333</v>
      </c>
      <c r="B5957" t="s">
        <v>6263</v>
      </c>
      <c r="C5957" t="s">
        <v>43</v>
      </c>
      <c r="D5957" t="str">
        <f t="shared" si="220"/>
        <v>561380</v>
      </c>
      <c r="E5957" t="s">
        <v>5997</v>
      </c>
      <c r="F5957" t="s">
        <v>44</v>
      </c>
    </row>
    <row r="5958" spans="1:6" x14ac:dyDescent="0.25">
      <c r="A5958" t="str">
        <f>"26997410"</f>
        <v>26997410</v>
      </c>
      <c r="B5958" t="s">
        <v>6264</v>
      </c>
      <c r="C5958" t="s">
        <v>7</v>
      </c>
      <c r="D5958" t="str">
        <f t="shared" si="220"/>
        <v>561380</v>
      </c>
      <c r="E5958" t="s">
        <v>5997</v>
      </c>
      <c r="F5958" t="s">
        <v>11</v>
      </c>
    </row>
    <row r="5959" spans="1:6" x14ac:dyDescent="0.25">
      <c r="A5959" t="str">
        <f>"02004763"</f>
        <v>02004763</v>
      </c>
      <c r="B5959" t="s">
        <v>6265</v>
      </c>
      <c r="C5959" t="s">
        <v>7</v>
      </c>
      <c r="D5959" t="str">
        <f t="shared" si="220"/>
        <v>561380</v>
      </c>
      <c r="E5959" t="s">
        <v>5997</v>
      </c>
      <c r="F5959" t="s">
        <v>11</v>
      </c>
    </row>
    <row r="5960" spans="1:6" x14ac:dyDescent="0.25">
      <c r="A5960" t="str">
        <f>"02011603"</f>
        <v>02011603</v>
      </c>
      <c r="B5960" t="s">
        <v>6266</v>
      </c>
      <c r="C5960" t="s">
        <v>7</v>
      </c>
      <c r="D5960" t="str">
        <f t="shared" si="220"/>
        <v>561380</v>
      </c>
      <c r="E5960" t="s">
        <v>5997</v>
      </c>
      <c r="F5960" t="s">
        <v>11</v>
      </c>
    </row>
    <row r="5961" spans="1:6" x14ac:dyDescent="0.25">
      <c r="A5961" t="str">
        <f>"70226351"</f>
        <v>70226351</v>
      </c>
      <c r="B5961" t="s">
        <v>6267</v>
      </c>
      <c r="C5961" t="s">
        <v>7</v>
      </c>
      <c r="D5961" t="str">
        <f t="shared" si="220"/>
        <v>561380</v>
      </c>
      <c r="E5961" t="s">
        <v>5997</v>
      </c>
      <c r="F5961" t="s">
        <v>11</v>
      </c>
    </row>
    <row r="5962" spans="1:6" x14ac:dyDescent="0.25">
      <c r="A5962" t="str">
        <f>"46750177"</f>
        <v>46750177</v>
      </c>
      <c r="B5962" t="s">
        <v>6268</v>
      </c>
      <c r="C5962" t="s">
        <v>7</v>
      </c>
      <c r="D5962" t="str">
        <f t="shared" si="220"/>
        <v>561380</v>
      </c>
      <c r="E5962" t="s">
        <v>5997</v>
      </c>
      <c r="F5962" t="s">
        <v>11</v>
      </c>
    </row>
    <row r="5963" spans="1:6" x14ac:dyDescent="0.25">
      <c r="A5963" t="str">
        <f>"02501864"</f>
        <v>02501864</v>
      </c>
      <c r="B5963" t="s">
        <v>6269</v>
      </c>
      <c r="C5963" t="s">
        <v>7</v>
      </c>
      <c r="D5963" t="str">
        <f t="shared" si="220"/>
        <v>561380</v>
      </c>
      <c r="E5963" t="s">
        <v>5997</v>
      </c>
      <c r="F5963" t="s">
        <v>11</v>
      </c>
    </row>
    <row r="5964" spans="1:6" x14ac:dyDescent="0.25">
      <c r="A5964" t="str">
        <f>"00673030"</f>
        <v>00673030</v>
      </c>
      <c r="B5964" t="s">
        <v>6270</v>
      </c>
      <c r="C5964" t="s">
        <v>7</v>
      </c>
      <c r="D5964" t="str">
        <f t="shared" si="220"/>
        <v>561380</v>
      </c>
      <c r="E5964" t="s">
        <v>5997</v>
      </c>
      <c r="F5964" t="s">
        <v>11</v>
      </c>
    </row>
    <row r="5965" spans="1:6" x14ac:dyDescent="0.25">
      <c r="A5965" t="str">
        <f>"46750193"</f>
        <v>46750193</v>
      </c>
      <c r="B5965" t="s">
        <v>6271</v>
      </c>
      <c r="C5965" t="s">
        <v>7</v>
      </c>
      <c r="D5965" t="str">
        <f t="shared" si="220"/>
        <v>561380</v>
      </c>
      <c r="E5965" t="s">
        <v>5997</v>
      </c>
      <c r="F5965" t="s">
        <v>11</v>
      </c>
    </row>
    <row r="5966" spans="1:6" x14ac:dyDescent="0.25">
      <c r="A5966" t="str">
        <f>"01875833"</f>
        <v>01875833</v>
      </c>
      <c r="B5966" t="s">
        <v>6272</v>
      </c>
      <c r="C5966" t="s">
        <v>7</v>
      </c>
      <c r="D5966" t="str">
        <f t="shared" si="220"/>
        <v>561380</v>
      </c>
      <c r="E5966" t="s">
        <v>5997</v>
      </c>
      <c r="F5966" t="s">
        <v>389</v>
      </c>
    </row>
    <row r="5967" spans="1:6" x14ac:dyDescent="0.25">
      <c r="A5967" t="str">
        <f>"65997492"</f>
        <v>65997492</v>
      </c>
      <c r="B5967" t="s">
        <v>6273</v>
      </c>
      <c r="C5967" t="s">
        <v>7</v>
      </c>
      <c r="D5967" t="str">
        <f t="shared" si="220"/>
        <v>561380</v>
      </c>
      <c r="E5967" t="s">
        <v>5997</v>
      </c>
      <c r="F5967" t="s">
        <v>11</v>
      </c>
    </row>
    <row r="5968" spans="1:6" x14ac:dyDescent="0.25">
      <c r="A5968" t="str">
        <f>"70693811"</f>
        <v>70693811</v>
      </c>
      <c r="B5968" t="s">
        <v>6274</v>
      </c>
      <c r="C5968" t="s">
        <v>7</v>
      </c>
      <c r="D5968" t="str">
        <f t="shared" si="220"/>
        <v>561380</v>
      </c>
      <c r="E5968" t="s">
        <v>5997</v>
      </c>
      <c r="F5968" t="s">
        <v>11</v>
      </c>
    </row>
    <row r="5969" spans="1:6" x14ac:dyDescent="0.25">
      <c r="A5969" t="str">
        <f>"46750550"</f>
        <v>46750550</v>
      </c>
      <c r="B5969" t="s">
        <v>6275</v>
      </c>
      <c r="C5969" t="s">
        <v>7</v>
      </c>
      <c r="D5969" t="str">
        <f t="shared" si="220"/>
        <v>561380</v>
      </c>
      <c r="E5969" t="s">
        <v>5997</v>
      </c>
      <c r="F5969" t="s">
        <v>424</v>
      </c>
    </row>
    <row r="5970" spans="1:6" x14ac:dyDescent="0.25">
      <c r="A5970" t="str">
        <f>"48282804"</f>
        <v>48282804</v>
      </c>
      <c r="B5970" t="s">
        <v>6276</v>
      </c>
      <c r="C5970" t="s">
        <v>7</v>
      </c>
      <c r="D5970" t="str">
        <f t="shared" si="220"/>
        <v>561380</v>
      </c>
      <c r="E5970" t="s">
        <v>5997</v>
      </c>
      <c r="F5970" t="s">
        <v>11</v>
      </c>
    </row>
    <row r="5971" spans="1:6" x14ac:dyDescent="0.25">
      <c r="A5971" t="str">
        <f>"26649772"</f>
        <v>26649772</v>
      </c>
      <c r="B5971" t="s">
        <v>6277</v>
      </c>
      <c r="C5971" t="s">
        <v>7</v>
      </c>
      <c r="D5971" t="str">
        <f t="shared" si="220"/>
        <v>561380</v>
      </c>
      <c r="E5971" t="s">
        <v>5997</v>
      </c>
      <c r="F5971" t="s">
        <v>11</v>
      </c>
    </row>
    <row r="5972" spans="1:6" x14ac:dyDescent="0.25">
      <c r="A5972" t="str">
        <f>"68455275"</f>
        <v>68455275</v>
      </c>
      <c r="B5972" t="s">
        <v>6278</v>
      </c>
      <c r="C5972" t="s">
        <v>7</v>
      </c>
      <c r="D5972" t="str">
        <f t="shared" si="220"/>
        <v>561380</v>
      </c>
      <c r="E5972" t="s">
        <v>5997</v>
      </c>
      <c r="F5972" t="s">
        <v>11</v>
      </c>
    </row>
    <row r="5973" spans="1:6" x14ac:dyDescent="0.25">
      <c r="A5973" t="str">
        <f>"44223510"</f>
        <v>44223510</v>
      </c>
      <c r="B5973" t="s">
        <v>6279</v>
      </c>
      <c r="C5973" t="s">
        <v>7</v>
      </c>
      <c r="D5973" t="str">
        <f t="shared" si="220"/>
        <v>561380</v>
      </c>
      <c r="E5973" t="s">
        <v>5997</v>
      </c>
      <c r="F5973" t="s">
        <v>9</v>
      </c>
    </row>
    <row r="5974" spans="1:6" x14ac:dyDescent="0.25">
      <c r="A5974" t="str">
        <f>"01791923"</f>
        <v>01791923</v>
      </c>
      <c r="B5974" t="s">
        <v>6280</v>
      </c>
      <c r="C5974" t="s">
        <v>7</v>
      </c>
      <c r="D5974" t="str">
        <f t="shared" si="220"/>
        <v>561380</v>
      </c>
      <c r="E5974" t="s">
        <v>5997</v>
      </c>
      <c r="F5974" t="s">
        <v>389</v>
      </c>
    </row>
    <row r="5975" spans="1:6" x14ac:dyDescent="0.25">
      <c r="A5975" t="str">
        <f>"46750355"</f>
        <v>46750355</v>
      </c>
      <c r="B5975" t="s">
        <v>6281</v>
      </c>
      <c r="C5975" t="s">
        <v>7</v>
      </c>
      <c r="D5975" t="str">
        <f t="shared" si="220"/>
        <v>561380</v>
      </c>
      <c r="E5975" t="s">
        <v>5997</v>
      </c>
      <c r="F5975" t="s">
        <v>9</v>
      </c>
    </row>
    <row r="5976" spans="1:6" x14ac:dyDescent="0.25">
      <c r="A5976" t="str">
        <f>"63778351"</f>
        <v>63778351</v>
      </c>
      <c r="B5976" t="s">
        <v>6282</v>
      </c>
      <c r="C5976" t="s">
        <v>7</v>
      </c>
      <c r="D5976" t="str">
        <f t="shared" si="220"/>
        <v>561380</v>
      </c>
      <c r="E5976" t="s">
        <v>5997</v>
      </c>
      <c r="F5976" t="s">
        <v>254</v>
      </c>
    </row>
    <row r="5977" spans="1:6" x14ac:dyDescent="0.25">
      <c r="A5977" t="str">
        <f>"70813302"</f>
        <v>70813302</v>
      </c>
      <c r="B5977" t="s">
        <v>6283</v>
      </c>
      <c r="C5977" t="s">
        <v>7</v>
      </c>
      <c r="D5977" t="str">
        <f t="shared" si="220"/>
        <v>561380</v>
      </c>
      <c r="E5977" t="s">
        <v>5997</v>
      </c>
      <c r="F5977" t="s">
        <v>254</v>
      </c>
    </row>
    <row r="5978" spans="1:6" x14ac:dyDescent="0.25">
      <c r="A5978" t="str">
        <f>"22730192"</f>
        <v>22730192</v>
      </c>
      <c r="B5978" t="s">
        <v>6284</v>
      </c>
      <c r="C5978" t="s">
        <v>7</v>
      </c>
      <c r="D5978" t="str">
        <f t="shared" si="220"/>
        <v>561380</v>
      </c>
      <c r="E5978" t="s">
        <v>5997</v>
      </c>
      <c r="F5978" t="s">
        <v>18</v>
      </c>
    </row>
    <row r="5979" spans="1:6" x14ac:dyDescent="0.25">
      <c r="A5979" t="str">
        <f>"02439115"</f>
        <v>02439115</v>
      </c>
      <c r="B5979" t="s">
        <v>6285</v>
      </c>
      <c r="C5979" t="s">
        <v>7</v>
      </c>
      <c r="D5979" t="str">
        <f t="shared" si="220"/>
        <v>561380</v>
      </c>
      <c r="E5979" t="s">
        <v>5997</v>
      </c>
      <c r="F5979" t="s">
        <v>11</v>
      </c>
    </row>
    <row r="5980" spans="1:6" x14ac:dyDescent="0.25">
      <c r="A5980" t="str">
        <f>"02107538"</f>
        <v>02107538</v>
      </c>
      <c r="B5980" t="s">
        <v>6286</v>
      </c>
      <c r="C5980" t="s">
        <v>78</v>
      </c>
      <c r="D5980" t="str">
        <f t="shared" si="220"/>
        <v>561380</v>
      </c>
      <c r="E5980" t="s">
        <v>5997</v>
      </c>
      <c r="F5980" t="s">
        <v>3275</v>
      </c>
    </row>
    <row r="5981" spans="1:6" x14ac:dyDescent="0.25">
      <c r="A5981" t="str">
        <f>"68455488"</f>
        <v>68455488</v>
      </c>
      <c r="B5981" t="s">
        <v>6287</v>
      </c>
      <c r="C5981" t="s">
        <v>7</v>
      </c>
      <c r="D5981" t="str">
        <f t="shared" si="220"/>
        <v>561380</v>
      </c>
      <c r="E5981" t="s">
        <v>5997</v>
      </c>
      <c r="F5981" t="s">
        <v>9</v>
      </c>
    </row>
    <row r="5982" spans="1:6" x14ac:dyDescent="0.25">
      <c r="A5982" t="str">
        <f>"07365811"</f>
        <v>07365811</v>
      </c>
      <c r="B5982" t="s">
        <v>6288</v>
      </c>
      <c r="C5982" t="s">
        <v>15</v>
      </c>
      <c r="D5982" t="str">
        <f t="shared" si="220"/>
        <v>561380</v>
      </c>
      <c r="E5982" t="s">
        <v>5997</v>
      </c>
      <c r="F5982" t="s">
        <v>9</v>
      </c>
    </row>
    <row r="5983" spans="1:6" x14ac:dyDescent="0.25">
      <c r="A5983" t="str">
        <f>"01533681"</f>
        <v>01533681</v>
      </c>
      <c r="B5983" t="s">
        <v>6289</v>
      </c>
      <c r="C5983" t="s">
        <v>15</v>
      </c>
      <c r="D5983" t="str">
        <f t="shared" si="220"/>
        <v>561380</v>
      </c>
      <c r="E5983" t="s">
        <v>5997</v>
      </c>
      <c r="F5983" t="s">
        <v>11</v>
      </c>
    </row>
    <row r="5984" spans="1:6" x14ac:dyDescent="0.25">
      <c r="A5984" t="str">
        <f>"65100611"</f>
        <v>65100611</v>
      </c>
      <c r="B5984" t="s">
        <v>6290</v>
      </c>
      <c r="C5984" t="s">
        <v>7</v>
      </c>
      <c r="D5984" t="str">
        <f t="shared" si="220"/>
        <v>561380</v>
      </c>
      <c r="E5984" t="s">
        <v>5997</v>
      </c>
      <c r="F5984" t="s">
        <v>604</v>
      </c>
    </row>
    <row r="5985" spans="1:6" x14ac:dyDescent="0.25">
      <c r="A5985" t="str">
        <f>"26632543"</f>
        <v>26632543</v>
      </c>
      <c r="B5985" t="s">
        <v>6291</v>
      </c>
      <c r="C5985" t="s">
        <v>7</v>
      </c>
      <c r="D5985" t="str">
        <f t="shared" si="220"/>
        <v>561380</v>
      </c>
      <c r="E5985" t="s">
        <v>5997</v>
      </c>
      <c r="F5985" t="s">
        <v>9</v>
      </c>
    </row>
    <row r="5986" spans="1:6" x14ac:dyDescent="0.25">
      <c r="A5986" t="str">
        <f>"63778815"</f>
        <v>63778815</v>
      </c>
      <c r="B5986" t="s">
        <v>6292</v>
      </c>
      <c r="C5986" t="s">
        <v>15</v>
      </c>
      <c r="D5986" t="str">
        <f t="shared" si="220"/>
        <v>561380</v>
      </c>
      <c r="E5986" t="s">
        <v>5997</v>
      </c>
      <c r="F5986" t="s">
        <v>16</v>
      </c>
    </row>
    <row r="5987" spans="1:6" x14ac:dyDescent="0.25">
      <c r="A5987" t="str">
        <f>"48282570"</f>
        <v>48282570</v>
      </c>
      <c r="B5987" t="s">
        <v>6293</v>
      </c>
      <c r="C5987" t="s">
        <v>15</v>
      </c>
      <c r="D5987" t="str">
        <f t="shared" si="220"/>
        <v>561380</v>
      </c>
      <c r="E5987" t="s">
        <v>5997</v>
      </c>
      <c r="F5987" t="s">
        <v>16</v>
      </c>
    </row>
    <row r="5988" spans="1:6" x14ac:dyDescent="0.25">
      <c r="A5988" t="str">
        <f>"63778653"</f>
        <v>63778653</v>
      </c>
      <c r="B5988" t="s">
        <v>6294</v>
      </c>
      <c r="C5988" t="s">
        <v>15</v>
      </c>
      <c r="D5988" t="str">
        <f t="shared" si="220"/>
        <v>561380</v>
      </c>
      <c r="E5988" t="s">
        <v>5997</v>
      </c>
      <c r="F5988" t="s">
        <v>16</v>
      </c>
    </row>
    <row r="5989" spans="1:6" x14ac:dyDescent="0.25">
      <c r="A5989" t="str">
        <f>"05390451"</f>
        <v>05390451</v>
      </c>
      <c r="B5989" t="s">
        <v>6295</v>
      </c>
      <c r="C5989" t="s">
        <v>7</v>
      </c>
      <c r="D5989" t="str">
        <f t="shared" si="220"/>
        <v>561380</v>
      </c>
      <c r="E5989" t="s">
        <v>5997</v>
      </c>
      <c r="F5989" t="s">
        <v>11</v>
      </c>
    </row>
    <row r="5990" spans="1:6" x14ac:dyDescent="0.25">
      <c r="A5990" t="str">
        <f>"08646805"</f>
        <v>08646805</v>
      </c>
      <c r="B5990" t="s">
        <v>6296</v>
      </c>
      <c r="C5990" t="s">
        <v>7</v>
      </c>
      <c r="D5990" t="str">
        <f t="shared" si="220"/>
        <v>561380</v>
      </c>
      <c r="E5990" t="s">
        <v>5997</v>
      </c>
      <c r="F5990" t="s">
        <v>35</v>
      </c>
    </row>
    <row r="5991" spans="1:6" x14ac:dyDescent="0.25">
      <c r="A5991" t="str">
        <f>"48282235"</f>
        <v>48282235</v>
      </c>
      <c r="B5991" t="s">
        <v>6297</v>
      </c>
      <c r="C5991" t="s">
        <v>7</v>
      </c>
      <c r="D5991" t="str">
        <f t="shared" si="220"/>
        <v>561380</v>
      </c>
      <c r="E5991" t="s">
        <v>5997</v>
      </c>
      <c r="F5991" t="s">
        <v>9</v>
      </c>
    </row>
    <row r="5992" spans="1:6" x14ac:dyDescent="0.25">
      <c r="A5992" t="str">
        <f>"49864335"</f>
        <v>49864335</v>
      </c>
      <c r="B5992" t="s">
        <v>6298</v>
      </c>
      <c r="C5992" t="s">
        <v>7</v>
      </c>
      <c r="D5992" t="str">
        <f t="shared" si="220"/>
        <v>561380</v>
      </c>
      <c r="E5992" t="s">
        <v>5997</v>
      </c>
      <c r="F5992" t="s">
        <v>9</v>
      </c>
    </row>
    <row r="5993" spans="1:6" x14ac:dyDescent="0.25">
      <c r="A5993" t="str">
        <f>"27039919"</f>
        <v>27039919</v>
      </c>
      <c r="B5993" t="s">
        <v>6299</v>
      </c>
      <c r="C5993" t="s">
        <v>7</v>
      </c>
      <c r="D5993" t="str">
        <f t="shared" si="220"/>
        <v>561380</v>
      </c>
      <c r="E5993" t="s">
        <v>5997</v>
      </c>
      <c r="F5993" t="s">
        <v>65</v>
      </c>
    </row>
    <row r="5994" spans="1:6" x14ac:dyDescent="0.25">
      <c r="A5994" t="str">
        <f>"02196972"</f>
        <v>02196972</v>
      </c>
      <c r="B5994" t="s">
        <v>6300</v>
      </c>
      <c r="C5994" t="s">
        <v>7</v>
      </c>
      <c r="D5994" t="str">
        <f t="shared" si="220"/>
        <v>561380</v>
      </c>
      <c r="E5994" t="s">
        <v>5997</v>
      </c>
      <c r="F5994" t="s">
        <v>35</v>
      </c>
    </row>
    <row r="5995" spans="1:6" x14ac:dyDescent="0.25">
      <c r="A5995" t="str">
        <f>"26593700"</f>
        <v>26593700</v>
      </c>
      <c r="B5995" t="s">
        <v>6301</v>
      </c>
      <c r="C5995" t="s">
        <v>7</v>
      </c>
      <c r="D5995" t="str">
        <f t="shared" si="220"/>
        <v>561380</v>
      </c>
      <c r="E5995" t="s">
        <v>5997</v>
      </c>
      <c r="F5995" t="s">
        <v>35</v>
      </c>
    </row>
    <row r="5996" spans="1:6" x14ac:dyDescent="0.25">
      <c r="A5996" t="str">
        <f>"02004593"</f>
        <v>02004593</v>
      </c>
      <c r="B5996" t="s">
        <v>6302</v>
      </c>
      <c r="C5996" t="s">
        <v>7</v>
      </c>
      <c r="D5996" t="str">
        <f t="shared" si="220"/>
        <v>561380</v>
      </c>
      <c r="E5996" t="s">
        <v>5997</v>
      </c>
      <c r="F5996" t="s">
        <v>35</v>
      </c>
    </row>
    <row r="5997" spans="1:6" x14ac:dyDescent="0.25">
      <c r="A5997" t="str">
        <f>"27052567"</f>
        <v>27052567</v>
      </c>
      <c r="B5997" t="s">
        <v>6303</v>
      </c>
      <c r="C5997" t="s">
        <v>7</v>
      </c>
      <c r="D5997" t="str">
        <f t="shared" si="220"/>
        <v>561380</v>
      </c>
      <c r="E5997" t="s">
        <v>5997</v>
      </c>
      <c r="F5997" t="s">
        <v>9</v>
      </c>
    </row>
    <row r="5998" spans="1:6" x14ac:dyDescent="0.25">
      <c r="A5998" t="str">
        <f>"21355002"</f>
        <v>21355002</v>
      </c>
      <c r="B5998" t="s">
        <v>6304</v>
      </c>
      <c r="C5998" t="s">
        <v>7</v>
      </c>
      <c r="D5998" t="str">
        <f t="shared" si="220"/>
        <v>561380</v>
      </c>
      <c r="E5998" t="s">
        <v>5997</v>
      </c>
      <c r="F5998" t="s">
        <v>139</v>
      </c>
    </row>
    <row r="5999" spans="1:6" x14ac:dyDescent="0.25">
      <c r="A5999" t="str">
        <f>"62237438"</f>
        <v>62237438</v>
      </c>
      <c r="B5999" t="s">
        <v>6305</v>
      </c>
      <c r="C5999" t="s">
        <v>7</v>
      </c>
      <c r="D5999" t="str">
        <f t="shared" si="220"/>
        <v>561380</v>
      </c>
      <c r="E5999" t="s">
        <v>5997</v>
      </c>
      <c r="F5999" t="s">
        <v>379</v>
      </c>
    </row>
    <row r="6000" spans="1:6" x14ac:dyDescent="0.25">
      <c r="A6000" t="str">
        <f>"04786289"</f>
        <v>04786289</v>
      </c>
      <c r="B6000" t="s">
        <v>6306</v>
      </c>
      <c r="C6000" t="s">
        <v>7</v>
      </c>
      <c r="D6000" t="str">
        <f t="shared" si="220"/>
        <v>561380</v>
      </c>
      <c r="E6000" t="s">
        <v>5997</v>
      </c>
      <c r="F6000" t="s">
        <v>11</v>
      </c>
    </row>
    <row r="6001" spans="1:6" x14ac:dyDescent="0.25">
      <c r="A6001" t="str">
        <f>"14867401"</f>
        <v>14867401</v>
      </c>
      <c r="B6001" t="s">
        <v>6307</v>
      </c>
      <c r="C6001" t="s">
        <v>7</v>
      </c>
      <c r="D6001" t="str">
        <f t="shared" si="220"/>
        <v>561380</v>
      </c>
      <c r="E6001" t="s">
        <v>5997</v>
      </c>
      <c r="F6001" t="s">
        <v>9</v>
      </c>
    </row>
    <row r="6002" spans="1:6" x14ac:dyDescent="0.25">
      <c r="A6002" t="str">
        <f>"26557304"</f>
        <v>26557304</v>
      </c>
      <c r="B6002" t="s">
        <v>6308</v>
      </c>
      <c r="C6002" t="s">
        <v>7</v>
      </c>
      <c r="D6002" t="str">
        <f t="shared" si="220"/>
        <v>561380</v>
      </c>
      <c r="E6002" t="s">
        <v>5997</v>
      </c>
      <c r="F6002" t="s">
        <v>11</v>
      </c>
    </row>
    <row r="6003" spans="1:6" x14ac:dyDescent="0.25">
      <c r="A6003" t="str">
        <f>"09081224"</f>
        <v>09081224</v>
      </c>
      <c r="B6003" t="s">
        <v>6309</v>
      </c>
      <c r="C6003" t="s">
        <v>7</v>
      </c>
      <c r="D6003" t="str">
        <f t="shared" si="220"/>
        <v>561380</v>
      </c>
      <c r="E6003" t="s">
        <v>5997</v>
      </c>
      <c r="F6003" t="s">
        <v>11</v>
      </c>
    </row>
    <row r="6004" spans="1:6" x14ac:dyDescent="0.25">
      <c r="A6004" t="str">
        <f>"41325711"</f>
        <v>41325711</v>
      </c>
      <c r="B6004" t="s">
        <v>6310</v>
      </c>
      <c r="C6004" t="s">
        <v>7</v>
      </c>
      <c r="D6004" t="str">
        <f t="shared" si="220"/>
        <v>561380</v>
      </c>
      <c r="E6004" t="s">
        <v>5997</v>
      </c>
      <c r="F6004" t="s">
        <v>326</v>
      </c>
    </row>
    <row r="6005" spans="1:6" x14ac:dyDescent="0.25">
      <c r="A6005" t="str">
        <f>"49864025"</f>
        <v>49864025</v>
      </c>
      <c r="B6005" t="s">
        <v>6311</v>
      </c>
      <c r="C6005" t="s">
        <v>7</v>
      </c>
      <c r="D6005" t="str">
        <f t="shared" si="220"/>
        <v>561380</v>
      </c>
      <c r="E6005" t="s">
        <v>5997</v>
      </c>
      <c r="F6005" t="s">
        <v>11</v>
      </c>
    </row>
    <row r="6006" spans="1:6" x14ac:dyDescent="0.25">
      <c r="A6006" t="str">
        <f>"70936331"</f>
        <v>70936331</v>
      </c>
      <c r="B6006" t="s">
        <v>6312</v>
      </c>
      <c r="C6006" t="s">
        <v>15</v>
      </c>
      <c r="D6006" t="str">
        <f t="shared" si="220"/>
        <v>561380</v>
      </c>
      <c r="E6006" t="s">
        <v>5997</v>
      </c>
      <c r="F6006" t="s">
        <v>18</v>
      </c>
    </row>
    <row r="6007" spans="1:6" x14ac:dyDescent="0.25">
      <c r="A6007" t="str">
        <f>"43225977"</f>
        <v>43225977</v>
      </c>
      <c r="B6007" t="s">
        <v>6313</v>
      </c>
      <c r="C6007" t="s">
        <v>7</v>
      </c>
      <c r="D6007" t="str">
        <f t="shared" si="220"/>
        <v>561380</v>
      </c>
      <c r="E6007" t="s">
        <v>5997</v>
      </c>
      <c r="F6007" t="s">
        <v>13</v>
      </c>
    </row>
    <row r="6008" spans="1:6" x14ac:dyDescent="0.25">
      <c r="A6008" t="str">
        <f>"03221199"</f>
        <v>03221199</v>
      </c>
      <c r="B6008" t="s">
        <v>6314</v>
      </c>
      <c r="C6008" t="s">
        <v>1038</v>
      </c>
      <c r="D6008" t="str">
        <f t="shared" si="220"/>
        <v>561380</v>
      </c>
      <c r="E6008" t="s">
        <v>5997</v>
      </c>
      <c r="F6008" t="s">
        <v>1039</v>
      </c>
    </row>
    <row r="6009" spans="1:6" x14ac:dyDescent="0.25">
      <c r="A6009" t="str">
        <f>"08041377"</f>
        <v>08041377</v>
      </c>
      <c r="B6009" t="s">
        <v>6315</v>
      </c>
      <c r="C6009" t="s">
        <v>7</v>
      </c>
      <c r="D6009" t="str">
        <f t="shared" si="220"/>
        <v>561380</v>
      </c>
      <c r="E6009" t="s">
        <v>5997</v>
      </c>
      <c r="F6009" t="s">
        <v>11</v>
      </c>
    </row>
    <row r="6010" spans="1:6" x14ac:dyDescent="0.25">
      <c r="A6010" t="str">
        <f>"03105318"</f>
        <v>03105318</v>
      </c>
      <c r="B6010" t="s">
        <v>6316</v>
      </c>
      <c r="C6010" t="s">
        <v>7</v>
      </c>
      <c r="D6010" t="str">
        <f t="shared" si="220"/>
        <v>561380</v>
      </c>
      <c r="E6010" t="s">
        <v>5997</v>
      </c>
      <c r="F6010" t="s">
        <v>11</v>
      </c>
    </row>
    <row r="6011" spans="1:6" x14ac:dyDescent="0.25">
      <c r="A6011" t="str">
        <f>"07659067"</f>
        <v>07659067</v>
      </c>
      <c r="B6011" t="s">
        <v>6317</v>
      </c>
      <c r="C6011" t="s">
        <v>7</v>
      </c>
      <c r="D6011" t="str">
        <f t="shared" ref="D6011:D6074" si="221">"561380"</f>
        <v>561380</v>
      </c>
      <c r="E6011" t="s">
        <v>5997</v>
      </c>
      <c r="F6011" t="s">
        <v>11</v>
      </c>
    </row>
    <row r="6012" spans="1:6" x14ac:dyDescent="0.25">
      <c r="A6012" t="str">
        <f>"06764053"</f>
        <v>06764053</v>
      </c>
      <c r="B6012" t="s">
        <v>6318</v>
      </c>
      <c r="C6012" t="s">
        <v>7</v>
      </c>
      <c r="D6012" t="str">
        <f t="shared" si="221"/>
        <v>561380</v>
      </c>
      <c r="E6012" t="s">
        <v>5997</v>
      </c>
      <c r="F6012" t="s">
        <v>11</v>
      </c>
    </row>
    <row r="6013" spans="1:6" x14ac:dyDescent="0.25">
      <c r="A6013" t="str">
        <f>"09702172"</f>
        <v>09702172</v>
      </c>
      <c r="B6013" t="s">
        <v>6319</v>
      </c>
      <c r="C6013" t="s">
        <v>7</v>
      </c>
      <c r="D6013" t="str">
        <f t="shared" si="221"/>
        <v>561380</v>
      </c>
      <c r="E6013" t="s">
        <v>5997</v>
      </c>
      <c r="F6013" t="s">
        <v>62</v>
      </c>
    </row>
    <row r="6014" spans="1:6" x14ac:dyDescent="0.25">
      <c r="A6014" t="str">
        <f>"06100805"</f>
        <v>06100805</v>
      </c>
      <c r="B6014" t="s">
        <v>6320</v>
      </c>
      <c r="C6014" t="s">
        <v>7</v>
      </c>
      <c r="D6014" t="str">
        <f t="shared" si="221"/>
        <v>561380</v>
      </c>
      <c r="E6014" t="s">
        <v>5997</v>
      </c>
      <c r="F6014" t="s">
        <v>9</v>
      </c>
    </row>
    <row r="6015" spans="1:6" x14ac:dyDescent="0.25">
      <c r="A6015" t="str">
        <f>"21849625"</f>
        <v>21849625</v>
      </c>
      <c r="B6015" t="s">
        <v>6321</v>
      </c>
      <c r="C6015" t="s">
        <v>7</v>
      </c>
      <c r="D6015" t="str">
        <f t="shared" si="221"/>
        <v>561380</v>
      </c>
      <c r="E6015" t="s">
        <v>5997</v>
      </c>
      <c r="F6015" t="s">
        <v>62</v>
      </c>
    </row>
    <row r="6016" spans="1:6" x14ac:dyDescent="0.25">
      <c r="A6016" t="str">
        <f>"23022639"</f>
        <v>23022639</v>
      </c>
      <c r="B6016" t="s">
        <v>6322</v>
      </c>
      <c r="C6016" t="s">
        <v>7</v>
      </c>
      <c r="D6016" t="str">
        <f t="shared" si="221"/>
        <v>561380</v>
      </c>
      <c r="E6016" t="s">
        <v>5997</v>
      </c>
      <c r="F6016" t="s">
        <v>11</v>
      </c>
    </row>
    <row r="6017" spans="1:6" x14ac:dyDescent="0.25">
      <c r="A6017" t="str">
        <f>"07119356"</f>
        <v>07119356</v>
      </c>
      <c r="B6017" t="s">
        <v>6323</v>
      </c>
      <c r="C6017" t="s">
        <v>7</v>
      </c>
      <c r="D6017" t="str">
        <f t="shared" si="221"/>
        <v>561380</v>
      </c>
      <c r="E6017" t="s">
        <v>5997</v>
      </c>
      <c r="F6017" t="s">
        <v>13</v>
      </c>
    </row>
    <row r="6018" spans="1:6" x14ac:dyDescent="0.25">
      <c r="A6018" t="str">
        <f>"04977653"</f>
        <v>04977653</v>
      </c>
      <c r="B6018" t="s">
        <v>6324</v>
      </c>
      <c r="C6018" t="s">
        <v>7</v>
      </c>
      <c r="D6018" t="str">
        <f t="shared" si="221"/>
        <v>561380</v>
      </c>
      <c r="E6018" t="s">
        <v>5997</v>
      </c>
      <c r="F6018" t="s">
        <v>65</v>
      </c>
    </row>
    <row r="6019" spans="1:6" x14ac:dyDescent="0.25">
      <c r="A6019" t="str">
        <f>"22885366"</f>
        <v>22885366</v>
      </c>
      <c r="B6019" t="s">
        <v>6325</v>
      </c>
      <c r="C6019" t="s">
        <v>7</v>
      </c>
      <c r="D6019" t="str">
        <f t="shared" si="221"/>
        <v>561380</v>
      </c>
      <c r="E6019" t="s">
        <v>5997</v>
      </c>
      <c r="F6019" t="s">
        <v>18</v>
      </c>
    </row>
    <row r="6020" spans="1:6" x14ac:dyDescent="0.25">
      <c r="A6020" t="str">
        <f>"04851251"</f>
        <v>04851251</v>
      </c>
      <c r="B6020" t="s">
        <v>6326</v>
      </c>
      <c r="C6020" t="s">
        <v>7</v>
      </c>
      <c r="D6020" t="str">
        <f t="shared" si="221"/>
        <v>561380</v>
      </c>
      <c r="E6020" t="s">
        <v>5997</v>
      </c>
      <c r="F6020" t="s">
        <v>11</v>
      </c>
    </row>
    <row r="6021" spans="1:6" x14ac:dyDescent="0.25">
      <c r="A6021" t="str">
        <f>"46750291"</f>
        <v>46750291</v>
      </c>
      <c r="B6021" t="s">
        <v>6327</v>
      </c>
      <c r="C6021" t="s">
        <v>7</v>
      </c>
      <c r="D6021" t="str">
        <f t="shared" si="221"/>
        <v>561380</v>
      </c>
      <c r="E6021" t="s">
        <v>5997</v>
      </c>
      <c r="F6021" t="s">
        <v>13</v>
      </c>
    </row>
    <row r="6022" spans="1:6" x14ac:dyDescent="0.25">
      <c r="A6022" t="str">
        <f>"09948040"</f>
        <v>09948040</v>
      </c>
      <c r="B6022" t="s">
        <v>6328</v>
      </c>
      <c r="C6022" t="s">
        <v>7</v>
      </c>
      <c r="D6022" t="str">
        <f t="shared" si="221"/>
        <v>561380</v>
      </c>
      <c r="E6022" t="s">
        <v>5997</v>
      </c>
      <c r="F6022" t="s">
        <v>11</v>
      </c>
    </row>
    <row r="6023" spans="1:6" x14ac:dyDescent="0.25">
      <c r="A6023" t="str">
        <f>"65650298"</f>
        <v>65650298</v>
      </c>
      <c r="B6023" t="s">
        <v>6329</v>
      </c>
      <c r="C6023" t="s">
        <v>7</v>
      </c>
      <c r="D6023" t="str">
        <f t="shared" si="221"/>
        <v>561380</v>
      </c>
      <c r="E6023" t="s">
        <v>5997</v>
      </c>
      <c r="F6023" t="s">
        <v>11</v>
      </c>
    </row>
    <row r="6024" spans="1:6" x14ac:dyDescent="0.25">
      <c r="A6024" t="str">
        <f>"48282359"</f>
        <v>48282359</v>
      </c>
      <c r="B6024" t="s">
        <v>6330</v>
      </c>
      <c r="C6024" t="s">
        <v>7</v>
      </c>
      <c r="D6024" t="str">
        <f t="shared" si="221"/>
        <v>561380</v>
      </c>
      <c r="E6024" t="s">
        <v>5997</v>
      </c>
      <c r="F6024" t="s">
        <v>11</v>
      </c>
    </row>
    <row r="6025" spans="1:6" x14ac:dyDescent="0.25">
      <c r="A6025" t="str">
        <f>"69410976"</f>
        <v>69410976</v>
      </c>
      <c r="B6025" t="s">
        <v>6331</v>
      </c>
      <c r="C6025" t="s">
        <v>7</v>
      </c>
      <c r="D6025" t="str">
        <f t="shared" si="221"/>
        <v>561380</v>
      </c>
      <c r="E6025" t="s">
        <v>5997</v>
      </c>
      <c r="F6025" t="s">
        <v>11</v>
      </c>
    </row>
    <row r="6026" spans="1:6" x14ac:dyDescent="0.25">
      <c r="A6026" t="str">
        <f>"03464491"</f>
        <v>03464491</v>
      </c>
      <c r="B6026" t="s">
        <v>6332</v>
      </c>
      <c r="C6026" t="s">
        <v>7</v>
      </c>
      <c r="D6026" t="str">
        <f t="shared" si="221"/>
        <v>561380</v>
      </c>
      <c r="E6026" t="s">
        <v>5997</v>
      </c>
      <c r="F6026" t="s">
        <v>13</v>
      </c>
    </row>
    <row r="6027" spans="1:6" x14ac:dyDescent="0.25">
      <c r="A6027" t="str">
        <f>"26526379"</f>
        <v>26526379</v>
      </c>
      <c r="B6027" t="s">
        <v>6333</v>
      </c>
      <c r="C6027" t="s">
        <v>7</v>
      </c>
      <c r="D6027" t="str">
        <f t="shared" si="221"/>
        <v>561380</v>
      </c>
      <c r="E6027" t="s">
        <v>5997</v>
      </c>
      <c r="F6027" t="s">
        <v>13</v>
      </c>
    </row>
    <row r="6028" spans="1:6" x14ac:dyDescent="0.25">
      <c r="A6028" t="str">
        <f>"69410780"</f>
        <v>69410780</v>
      </c>
      <c r="B6028" t="s">
        <v>6334</v>
      </c>
      <c r="C6028" t="s">
        <v>7</v>
      </c>
      <c r="D6028" t="str">
        <f t="shared" si="221"/>
        <v>561380</v>
      </c>
      <c r="E6028" t="s">
        <v>5997</v>
      </c>
      <c r="F6028" t="s">
        <v>13</v>
      </c>
    </row>
    <row r="6029" spans="1:6" x14ac:dyDescent="0.25">
      <c r="A6029" t="str">
        <f>"22862439"</f>
        <v>22862439</v>
      </c>
      <c r="B6029" t="s">
        <v>6335</v>
      </c>
      <c r="C6029" t="s">
        <v>7</v>
      </c>
      <c r="D6029" t="str">
        <f t="shared" si="221"/>
        <v>561380</v>
      </c>
      <c r="E6029" t="s">
        <v>5997</v>
      </c>
      <c r="F6029" t="s">
        <v>11</v>
      </c>
    </row>
    <row r="6030" spans="1:6" x14ac:dyDescent="0.25">
      <c r="A6030" t="str">
        <f>"06414524"</f>
        <v>06414524</v>
      </c>
      <c r="B6030" t="s">
        <v>6336</v>
      </c>
      <c r="C6030" t="s">
        <v>7</v>
      </c>
      <c r="D6030" t="str">
        <f t="shared" si="221"/>
        <v>561380</v>
      </c>
      <c r="E6030" t="s">
        <v>5997</v>
      </c>
      <c r="F6030" t="s">
        <v>13</v>
      </c>
    </row>
    <row r="6031" spans="1:6" x14ac:dyDescent="0.25">
      <c r="A6031" t="str">
        <f>"26982331"</f>
        <v>26982331</v>
      </c>
      <c r="B6031" t="s">
        <v>6337</v>
      </c>
      <c r="C6031" t="s">
        <v>7</v>
      </c>
      <c r="D6031" t="str">
        <f t="shared" si="221"/>
        <v>561380</v>
      </c>
      <c r="E6031" t="s">
        <v>5997</v>
      </c>
      <c r="F6031" t="s">
        <v>9</v>
      </c>
    </row>
    <row r="6032" spans="1:6" x14ac:dyDescent="0.25">
      <c r="A6032" t="str">
        <f>"07839847"</f>
        <v>07839847</v>
      </c>
      <c r="B6032" t="s">
        <v>6338</v>
      </c>
      <c r="C6032" t="s">
        <v>7</v>
      </c>
      <c r="D6032" t="str">
        <f t="shared" si="221"/>
        <v>561380</v>
      </c>
      <c r="E6032" t="s">
        <v>5997</v>
      </c>
      <c r="F6032" t="s">
        <v>62</v>
      </c>
    </row>
    <row r="6033" spans="1:6" x14ac:dyDescent="0.25">
      <c r="A6033" t="str">
        <f>"48282863"</f>
        <v>48282863</v>
      </c>
      <c r="B6033" t="s">
        <v>6339</v>
      </c>
      <c r="C6033" t="s">
        <v>7</v>
      </c>
      <c r="D6033" t="str">
        <f t="shared" si="221"/>
        <v>561380</v>
      </c>
      <c r="E6033" t="s">
        <v>5997</v>
      </c>
      <c r="F6033" t="s">
        <v>35</v>
      </c>
    </row>
    <row r="6034" spans="1:6" x14ac:dyDescent="0.25">
      <c r="A6034" t="str">
        <f>"26613263"</f>
        <v>26613263</v>
      </c>
      <c r="B6034" t="s">
        <v>6340</v>
      </c>
      <c r="C6034" t="s">
        <v>7</v>
      </c>
      <c r="D6034" t="str">
        <f t="shared" si="221"/>
        <v>561380</v>
      </c>
      <c r="E6034" t="s">
        <v>5997</v>
      </c>
      <c r="F6034" t="s">
        <v>9</v>
      </c>
    </row>
    <row r="6035" spans="1:6" x14ac:dyDescent="0.25">
      <c r="A6035" t="str">
        <f>"63778572"</f>
        <v>63778572</v>
      </c>
      <c r="B6035" t="s">
        <v>6341</v>
      </c>
      <c r="C6035" t="s">
        <v>7</v>
      </c>
      <c r="D6035" t="str">
        <f t="shared" si="221"/>
        <v>561380</v>
      </c>
      <c r="E6035" t="s">
        <v>5997</v>
      </c>
      <c r="F6035" t="s">
        <v>35</v>
      </c>
    </row>
    <row r="6036" spans="1:6" x14ac:dyDescent="0.25">
      <c r="A6036" t="str">
        <f>"63778971"</f>
        <v>63778971</v>
      </c>
      <c r="B6036" t="s">
        <v>6342</v>
      </c>
      <c r="C6036" t="s">
        <v>7</v>
      </c>
      <c r="D6036" t="str">
        <f t="shared" si="221"/>
        <v>561380</v>
      </c>
      <c r="E6036" t="s">
        <v>5997</v>
      </c>
      <c r="F6036" t="s">
        <v>35</v>
      </c>
    </row>
    <row r="6037" spans="1:6" x14ac:dyDescent="0.25">
      <c r="A6037" t="str">
        <f>"09571647"</f>
        <v>09571647</v>
      </c>
      <c r="B6037" t="s">
        <v>6343</v>
      </c>
      <c r="C6037" t="s">
        <v>7</v>
      </c>
      <c r="D6037" t="str">
        <f t="shared" si="221"/>
        <v>561380</v>
      </c>
      <c r="E6037" t="s">
        <v>5997</v>
      </c>
      <c r="F6037" t="s">
        <v>35</v>
      </c>
    </row>
    <row r="6038" spans="1:6" x14ac:dyDescent="0.25">
      <c r="A6038" t="str">
        <f>"09415441"</f>
        <v>09415441</v>
      </c>
      <c r="B6038" t="s">
        <v>6344</v>
      </c>
      <c r="C6038" t="s">
        <v>7</v>
      </c>
      <c r="D6038" t="str">
        <f t="shared" si="221"/>
        <v>561380</v>
      </c>
      <c r="E6038" t="s">
        <v>5997</v>
      </c>
      <c r="F6038" t="s">
        <v>35</v>
      </c>
    </row>
    <row r="6039" spans="1:6" x14ac:dyDescent="0.25">
      <c r="A6039" t="str">
        <f>"68974451"</f>
        <v>68974451</v>
      </c>
      <c r="B6039" t="s">
        <v>6345</v>
      </c>
      <c r="C6039" t="s">
        <v>7</v>
      </c>
      <c r="D6039" t="str">
        <f t="shared" si="221"/>
        <v>561380</v>
      </c>
      <c r="E6039" t="s">
        <v>5997</v>
      </c>
      <c r="F6039" t="s">
        <v>35</v>
      </c>
    </row>
    <row r="6040" spans="1:6" x14ac:dyDescent="0.25">
      <c r="A6040" t="str">
        <f>"49864254"</f>
        <v>49864254</v>
      </c>
      <c r="B6040" t="s">
        <v>6346</v>
      </c>
      <c r="C6040" t="s">
        <v>7</v>
      </c>
      <c r="D6040" t="str">
        <f t="shared" si="221"/>
        <v>561380</v>
      </c>
      <c r="E6040" t="s">
        <v>5997</v>
      </c>
      <c r="F6040" t="s">
        <v>9</v>
      </c>
    </row>
    <row r="6041" spans="1:6" x14ac:dyDescent="0.25">
      <c r="A6041" t="str">
        <f>"26548658"</f>
        <v>26548658</v>
      </c>
      <c r="B6041" t="s">
        <v>6347</v>
      </c>
      <c r="C6041" t="s">
        <v>7</v>
      </c>
      <c r="D6041" t="str">
        <f t="shared" si="221"/>
        <v>561380</v>
      </c>
      <c r="E6041" t="s">
        <v>5997</v>
      </c>
      <c r="F6041" t="s">
        <v>9</v>
      </c>
    </row>
    <row r="6042" spans="1:6" x14ac:dyDescent="0.25">
      <c r="A6042" t="str">
        <f>"01554913"</f>
        <v>01554913</v>
      </c>
      <c r="B6042" t="s">
        <v>6348</v>
      </c>
      <c r="C6042" t="s">
        <v>7</v>
      </c>
      <c r="D6042" t="str">
        <f t="shared" si="221"/>
        <v>561380</v>
      </c>
      <c r="E6042" t="s">
        <v>5997</v>
      </c>
      <c r="F6042" t="s">
        <v>62</v>
      </c>
    </row>
    <row r="6043" spans="1:6" x14ac:dyDescent="0.25">
      <c r="A6043" t="str">
        <f>"64045889"</f>
        <v>64045889</v>
      </c>
      <c r="B6043" t="s">
        <v>6349</v>
      </c>
      <c r="C6043" t="s">
        <v>7</v>
      </c>
      <c r="D6043" t="str">
        <f t="shared" si="221"/>
        <v>561380</v>
      </c>
      <c r="E6043" t="s">
        <v>5997</v>
      </c>
      <c r="F6043" t="s">
        <v>9</v>
      </c>
    </row>
    <row r="6044" spans="1:6" x14ac:dyDescent="0.25">
      <c r="A6044" t="str">
        <f>"10695711"</f>
        <v>10695711</v>
      </c>
      <c r="B6044" t="s">
        <v>6350</v>
      </c>
      <c r="C6044" t="s">
        <v>7</v>
      </c>
      <c r="D6044" t="str">
        <f t="shared" si="221"/>
        <v>561380</v>
      </c>
      <c r="E6044" t="s">
        <v>5997</v>
      </c>
      <c r="F6044" t="s">
        <v>62</v>
      </c>
    </row>
    <row r="6045" spans="1:6" x14ac:dyDescent="0.25">
      <c r="A6045" t="str">
        <f>"17519756"</f>
        <v>17519756</v>
      </c>
      <c r="B6045" t="s">
        <v>6351</v>
      </c>
      <c r="C6045" t="s">
        <v>7</v>
      </c>
      <c r="D6045" t="str">
        <f t="shared" si="221"/>
        <v>561380</v>
      </c>
      <c r="E6045" t="s">
        <v>5997</v>
      </c>
      <c r="F6045" t="s">
        <v>18</v>
      </c>
    </row>
    <row r="6046" spans="1:6" x14ac:dyDescent="0.25">
      <c r="A6046" t="str">
        <f>"01629131"</f>
        <v>01629131</v>
      </c>
      <c r="B6046" t="s">
        <v>6352</v>
      </c>
      <c r="C6046" t="s">
        <v>7</v>
      </c>
      <c r="D6046" t="str">
        <f t="shared" si="221"/>
        <v>561380</v>
      </c>
      <c r="E6046" t="s">
        <v>5997</v>
      </c>
      <c r="F6046" t="s">
        <v>11</v>
      </c>
    </row>
    <row r="6047" spans="1:6" x14ac:dyDescent="0.25">
      <c r="A6047" t="str">
        <f>"17945062"</f>
        <v>17945062</v>
      </c>
      <c r="B6047" t="s">
        <v>6353</v>
      </c>
      <c r="C6047" t="s">
        <v>7</v>
      </c>
      <c r="D6047" t="str">
        <f t="shared" si="221"/>
        <v>561380</v>
      </c>
      <c r="E6047" t="s">
        <v>5997</v>
      </c>
      <c r="F6047" t="s">
        <v>9</v>
      </c>
    </row>
    <row r="6048" spans="1:6" x14ac:dyDescent="0.25">
      <c r="A6048" t="str">
        <f>"48282138"</f>
        <v>48282138</v>
      </c>
      <c r="B6048" t="s">
        <v>6354</v>
      </c>
      <c r="C6048" t="s">
        <v>15</v>
      </c>
      <c r="D6048" t="str">
        <f t="shared" si="221"/>
        <v>561380</v>
      </c>
      <c r="E6048" t="s">
        <v>5997</v>
      </c>
      <c r="F6048" t="s">
        <v>137</v>
      </c>
    </row>
    <row r="6049" spans="1:6" x14ac:dyDescent="0.25">
      <c r="A6049" t="str">
        <f>"04990307"</f>
        <v>04990307</v>
      </c>
      <c r="B6049" t="s">
        <v>6355</v>
      </c>
      <c r="C6049" t="s">
        <v>15</v>
      </c>
      <c r="D6049" t="str">
        <f t="shared" si="221"/>
        <v>561380</v>
      </c>
      <c r="E6049" t="s">
        <v>5997</v>
      </c>
      <c r="F6049" t="s">
        <v>137</v>
      </c>
    </row>
    <row r="6050" spans="1:6" x14ac:dyDescent="0.25">
      <c r="A6050" t="str">
        <f>"65650123"</f>
        <v>65650123</v>
      </c>
      <c r="B6050" t="s">
        <v>6356</v>
      </c>
      <c r="C6050" t="s">
        <v>15</v>
      </c>
      <c r="D6050" t="str">
        <f t="shared" si="221"/>
        <v>561380</v>
      </c>
      <c r="E6050" t="s">
        <v>5997</v>
      </c>
      <c r="F6050" t="s">
        <v>137</v>
      </c>
    </row>
    <row r="6051" spans="1:6" x14ac:dyDescent="0.25">
      <c r="A6051" t="str">
        <f>"71211098"</f>
        <v>71211098</v>
      </c>
      <c r="B6051" t="s">
        <v>6357</v>
      </c>
      <c r="C6051" t="s">
        <v>15</v>
      </c>
      <c r="D6051" t="str">
        <f t="shared" si="221"/>
        <v>561380</v>
      </c>
      <c r="E6051" t="s">
        <v>5997</v>
      </c>
      <c r="F6051" t="s">
        <v>137</v>
      </c>
    </row>
    <row r="6052" spans="1:6" x14ac:dyDescent="0.25">
      <c r="A6052" t="str">
        <f>"62237489"</f>
        <v>62237489</v>
      </c>
      <c r="B6052" t="s">
        <v>6358</v>
      </c>
      <c r="C6052" t="s">
        <v>15</v>
      </c>
      <c r="D6052" t="str">
        <f t="shared" si="221"/>
        <v>561380</v>
      </c>
      <c r="E6052" t="s">
        <v>5997</v>
      </c>
      <c r="F6052" t="s">
        <v>137</v>
      </c>
    </row>
    <row r="6053" spans="1:6" x14ac:dyDescent="0.25">
      <c r="A6053" t="str">
        <f>"63778980"</f>
        <v>63778980</v>
      </c>
      <c r="B6053" t="s">
        <v>6359</v>
      </c>
      <c r="C6053" t="s">
        <v>7</v>
      </c>
      <c r="D6053" t="str">
        <f t="shared" si="221"/>
        <v>561380</v>
      </c>
      <c r="E6053" t="s">
        <v>5997</v>
      </c>
      <c r="F6053" t="s">
        <v>139</v>
      </c>
    </row>
    <row r="6054" spans="1:6" x14ac:dyDescent="0.25">
      <c r="A6054" t="str">
        <f>"46750151"</f>
        <v>46750151</v>
      </c>
      <c r="B6054" t="s">
        <v>6360</v>
      </c>
      <c r="C6054" t="s">
        <v>7</v>
      </c>
      <c r="D6054" t="str">
        <f t="shared" si="221"/>
        <v>561380</v>
      </c>
      <c r="E6054" t="s">
        <v>5997</v>
      </c>
      <c r="F6054" t="s">
        <v>35</v>
      </c>
    </row>
    <row r="6055" spans="1:6" x14ac:dyDescent="0.25">
      <c r="A6055" t="str">
        <f>"08067007"</f>
        <v>08067007</v>
      </c>
      <c r="B6055" t="s">
        <v>6361</v>
      </c>
      <c r="C6055" t="s">
        <v>7</v>
      </c>
      <c r="D6055" t="str">
        <f t="shared" si="221"/>
        <v>561380</v>
      </c>
      <c r="E6055" t="s">
        <v>5997</v>
      </c>
      <c r="F6055" t="s">
        <v>139</v>
      </c>
    </row>
    <row r="6056" spans="1:6" x14ac:dyDescent="0.25">
      <c r="A6056" t="str">
        <f>"09873309"</f>
        <v>09873309</v>
      </c>
      <c r="B6056" t="s">
        <v>6362</v>
      </c>
      <c r="C6056" t="s">
        <v>7</v>
      </c>
      <c r="D6056" t="str">
        <f t="shared" si="221"/>
        <v>561380</v>
      </c>
      <c r="E6056" t="s">
        <v>5997</v>
      </c>
      <c r="F6056" t="s">
        <v>35</v>
      </c>
    </row>
    <row r="6057" spans="1:6" x14ac:dyDescent="0.25">
      <c r="A6057" t="str">
        <f>"06692982"</f>
        <v>06692982</v>
      </c>
      <c r="B6057" t="s">
        <v>6363</v>
      </c>
      <c r="C6057" t="s">
        <v>7</v>
      </c>
      <c r="D6057" t="str">
        <f t="shared" si="221"/>
        <v>561380</v>
      </c>
      <c r="E6057" t="s">
        <v>5997</v>
      </c>
      <c r="F6057" t="s">
        <v>35</v>
      </c>
    </row>
    <row r="6058" spans="1:6" x14ac:dyDescent="0.25">
      <c r="A6058" t="str">
        <f>"08063231"</f>
        <v>08063231</v>
      </c>
      <c r="B6058" t="s">
        <v>6364</v>
      </c>
      <c r="C6058" t="s">
        <v>7</v>
      </c>
      <c r="D6058" t="str">
        <f t="shared" si="221"/>
        <v>561380</v>
      </c>
      <c r="E6058" t="s">
        <v>5997</v>
      </c>
      <c r="F6058" t="s">
        <v>11</v>
      </c>
    </row>
    <row r="6059" spans="1:6" x14ac:dyDescent="0.25">
      <c r="A6059" t="str">
        <f>"26664755"</f>
        <v>26664755</v>
      </c>
      <c r="B6059" t="s">
        <v>6365</v>
      </c>
      <c r="C6059" t="s">
        <v>7</v>
      </c>
      <c r="D6059" t="str">
        <f t="shared" si="221"/>
        <v>561380</v>
      </c>
      <c r="E6059" t="s">
        <v>5997</v>
      </c>
      <c r="F6059" t="s">
        <v>11</v>
      </c>
    </row>
    <row r="6060" spans="1:6" x14ac:dyDescent="0.25">
      <c r="A6060" t="str">
        <f>"05106451"</f>
        <v>05106451</v>
      </c>
      <c r="B6060" t="s">
        <v>6366</v>
      </c>
      <c r="C6060" t="s">
        <v>7</v>
      </c>
      <c r="D6060" t="str">
        <f t="shared" si="221"/>
        <v>561380</v>
      </c>
      <c r="E6060" t="s">
        <v>5997</v>
      </c>
      <c r="F6060" t="s">
        <v>62</v>
      </c>
    </row>
    <row r="6061" spans="1:6" x14ac:dyDescent="0.25">
      <c r="A6061" t="str">
        <f>"25031511"</f>
        <v>25031511</v>
      </c>
      <c r="B6061" t="s">
        <v>6367</v>
      </c>
      <c r="C6061" t="s">
        <v>78</v>
      </c>
      <c r="D6061" t="str">
        <f t="shared" si="221"/>
        <v>561380</v>
      </c>
      <c r="E6061" t="s">
        <v>5997</v>
      </c>
      <c r="F6061" t="s">
        <v>6368</v>
      </c>
    </row>
    <row r="6062" spans="1:6" x14ac:dyDescent="0.25">
      <c r="A6062" t="str">
        <f>"04885082"</f>
        <v>04885082</v>
      </c>
      <c r="B6062" t="s">
        <v>6369</v>
      </c>
      <c r="C6062" t="s">
        <v>7</v>
      </c>
      <c r="D6062" t="str">
        <f t="shared" si="221"/>
        <v>561380</v>
      </c>
      <c r="E6062" t="s">
        <v>5997</v>
      </c>
      <c r="F6062" t="s">
        <v>139</v>
      </c>
    </row>
    <row r="6063" spans="1:6" x14ac:dyDescent="0.25">
      <c r="A6063" t="str">
        <f>"21427119"</f>
        <v>21427119</v>
      </c>
      <c r="B6063" t="s">
        <v>6370</v>
      </c>
      <c r="C6063" t="s">
        <v>7</v>
      </c>
      <c r="D6063" t="str">
        <f t="shared" si="221"/>
        <v>561380</v>
      </c>
      <c r="E6063" t="s">
        <v>5997</v>
      </c>
      <c r="F6063" t="s">
        <v>62</v>
      </c>
    </row>
    <row r="6064" spans="1:6" x14ac:dyDescent="0.25">
      <c r="A6064" t="str">
        <f>"44225016"</f>
        <v>44225016</v>
      </c>
      <c r="B6064" t="s">
        <v>6371</v>
      </c>
      <c r="C6064" t="s">
        <v>15</v>
      </c>
      <c r="D6064" t="str">
        <f t="shared" si="221"/>
        <v>561380</v>
      </c>
      <c r="E6064" t="s">
        <v>5997</v>
      </c>
      <c r="F6064" t="s">
        <v>9</v>
      </c>
    </row>
    <row r="6065" spans="1:6" x14ac:dyDescent="0.25">
      <c r="A6065" t="str">
        <f>"66111404"</f>
        <v>66111404</v>
      </c>
      <c r="B6065" t="s">
        <v>6372</v>
      </c>
      <c r="C6065" t="s">
        <v>7</v>
      </c>
      <c r="D6065" t="str">
        <f t="shared" si="221"/>
        <v>561380</v>
      </c>
      <c r="E6065" t="s">
        <v>5997</v>
      </c>
      <c r="F6065" t="s">
        <v>65</v>
      </c>
    </row>
    <row r="6066" spans="1:6" x14ac:dyDescent="0.25">
      <c r="A6066" t="str">
        <f>"63155575"</f>
        <v>63155575</v>
      </c>
      <c r="B6066" t="s">
        <v>6373</v>
      </c>
      <c r="C6066" t="s">
        <v>7</v>
      </c>
      <c r="D6066" t="str">
        <f t="shared" si="221"/>
        <v>561380</v>
      </c>
      <c r="E6066" t="s">
        <v>5997</v>
      </c>
      <c r="F6066" t="s">
        <v>9</v>
      </c>
    </row>
    <row r="6067" spans="1:6" x14ac:dyDescent="0.25">
      <c r="A6067" t="str">
        <f>"46750754"</f>
        <v>46750754</v>
      </c>
      <c r="B6067" t="s">
        <v>6374</v>
      </c>
      <c r="C6067" t="s">
        <v>7</v>
      </c>
      <c r="D6067" t="str">
        <f t="shared" si="221"/>
        <v>561380</v>
      </c>
      <c r="E6067" t="s">
        <v>5997</v>
      </c>
      <c r="F6067" t="s">
        <v>9</v>
      </c>
    </row>
    <row r="6068" spans="1:6" x14ac:dyDescent="0.25">
      <c r="A6068" t="str">
        <f>"21997233"</f>
        <v>21997233</v>
      </c>
      <c r="B6068" t="s">
        <v>6375</v>
      </c>
      <c r="C6068" t="s">
        <v>7</v>
      </c>
      <c r="D6068" t="str">
        <f t="shared" si="221"/>
        <v>561380</v>
      </c>
      <c r="E6068" t="s">
        <v>5997</v>
      </c>
      <c r="F6068" t="s">
        <v>11</v>
      </c>
    </row>
    <row r="6069" spans="1:6" x14ac:dyDescent="0.25">
      <c r="A6069" t="str">
        <f>"26593581"</f>
        <v>26593581</v>
      </c>
      <c r="B6069" t="s">
        <v>6376</v>
      </c>
      <c r="C6069" t="s">
        <v>7</v>
      </c>
      <c r="D6069" t="str">
        <f t="shared" si="221"/>
        <v>561380</v>
      </c>
      <c r="E6069" t="s">
        <v>5997</v>
      </c>
      <c r="F6069" t="s">
        <v>11</v>
      </c>
    </row>
    <row r="6070" spans="1:6" x14ac:dyDescent="0.25">
      <c r="A6070" t="str">
        <f>"26575663"</f>
        <v>26575663</v>
      </c>
      <c r="B6070" t="s">
        <v>6377</v>
      </c>
      <c r="C6070" t="s">
        <v>7</v>
      </c>
      <c r="D6070" t="str">
        <f t="shared" si="221"/>
        <v>561380</v>
      </c>
      <c r="E6070" t="s">
        <v>5997</v>
      </c>
      <c r="F6070" t="s">
        <v>35</v>
      </c>
    </row>
    <row r="6071" spans="1:6" x14ac:dyDescent="0.25">
      <c r="A6071" t="str">
        <f>"04694597"</f>
        <v>04694597</v>
      </c>
      <c r="B6071" t="s">
        <v>6378</v>
      </c>
      <c r="C6071" t="s">
        <v>7</v>
      </c>
      <c r="D6071" t="str">
        <f t="shared" si="221"/>
        <v>561380</v>
      </c>
      <c r="E6071" t="s">
        <v>5997</v>
      </c>
      <c r="F6071" t="s">
        <v>35</v>
      </c>
    </row>
    <row r="6072" spans="1:6" x14ac:dyDescent="0.25">
      <c r="A6072" t="str">
        <f>"49864084"</f>
        <v>49864084</v>
      </c>
      <c r="B6072" t="s">
        <v>6379</v>
      </c>
      <c r="C6072" t="s">
        <v>7</v>
      </c>
      <c r="D6072" t="str">
        <f t="shared" si="221"/>
        <v>561380</v>
      </c>
      <c r="E6072" t="s">
        <v>5997</v>
      </c>
      <c r="F6072" t="s">
        <v>9</v>
      </c>
    </row>
    <row r="6073" spans="1:6" x14ac:dyDescent="0.25">
      <c r="A6073" t="str">
        <f>"70815453"</f>
        <v>70815453</v>
      </c>
      <c r="B6073" t="s">
        <v>6380</v>
      </c>
      <c r="C6073" t="s">
        <v>7</v>
      </c>
      <c r="D6073" t="str">
        <f t="shared" si="221"/>
        <v>561380</v>
      </c>
      <c r="E6073" t="s">
        <v>5997</v>
      </c>
      <c r="F6073" t="s">
        <v>35</v>
      </c>
    </row>
    <row r="6074" spans="1:6" x14ac:dyDescent="0.25">
      <c r="A6074" t="str">
        <f>"22849858"</f>
        <v>22849858</v>
      </c>
      <c r="B6074" t="s">
        <v>6381</v>
      </c>
      <c r="C6074" t="s">
        <v>7</v>
      </c>
      <c r="D6074" t="str">
        <f t="shared" si="221"/>
        <v>561380</v>
      </c>
      <c r="E6074" t="s">
        <v>5997</v>
      </c>
      <c r="F6074" t="s">
        <v>62</v>
      </c>
    </row>
    <row r="6075" spans="1:6" x14ac:dyDescent="0.25">
      <c r="A6075" t="str">
        <f>"02485907"</f>
        <v>02485907</v>
      </c>
      <c r="B6075" t="s">
        <v>6382</v>
      </c>
      <c r="C6075" t="s">
        <v>7</v>
      </c>
      <c r="D6075" t="str">
        <f t="shared" ref="D6075:D6142" si="222">"561380"</f>
        <v>561380</v>
      </c>
      <c r="E6075" t="s">
        <v>5997</v>
      </c>
      <c r="F6075" t="s">
        <v>35</v>
      </c>
    </row>
    <row r="6076" spans="1:6" x14ac:dyDescent="0.25">
      <c r="A6076" t="str">
        <f>"17841313"</f>
        <v>17841313</v>
      </c>
      <c r="B6076" t="s">
        <v>6383</v>
      </c>
      <c r="C6076" t="s">
        <v>7</v>
      </c>
      <c r="D6076" t="str">
        <f t="shared" si="222"/>
        <v>561380</v>
      </c>
      <c r="E6076" t="s">
        <v>5997</v>
      </c>
      <c r="F6076" t="s">
        <v>35</v>
      </c>
    </row>
    <row r="6077" spans="1:6" x14ac:dyDescent="0.25">
      <c r="A6077" t="str">
        <f>"65650310"</f>
        <v>65650310</v>
      </c>
      <c r="B6077" t="s">
        <v>6384</v>
      </c>
      <c r="C6077" t="s">
        <v>7</v>
      </c>
      <c r="D6077" t="str">
        <f t="shared" si="222"/>
        <v>561380</v>
      </c>
      <c r="E6077" t="s">
        <v>5997</v>
      </c>
      <c r="F6077" t="s">
        <v>65</v>
      </c>
    </row>
    <row r="6078" spans="1:6" x14ac:dyDescent="0.25">
      <c r="A6078" t="str">
        <f>"14394979"</f>
        <v>14394979</v>
      </c>
      <c r="B6078" t="s">
        <v>6385</v>
      </c>
      <c r="C6078" t="s">
        <v>7</v>
      </c>
      <c r="D6078" t="str">
        <f t="shared" si="222"/>
        <v>561380</v>
      </c>
      <c r="E6078" t="s">
        <v>5997</v>
      </c>
      <c r="F6078" t="s">
        <v>29</v>
      </c>
    </row>
    <row r="6079" spans="1:6" x14ac:dyDescent="0.25">
      <c r="A6079" t="str">
        <f>"26539624"</f>
        <v>26539624</v>
      </c>
      <c r="B6079" t="s">
        <v>6386</v>
      </c>
      <c r="C6079" t="s">
        <v>7</v>
      </c>
      <c r="D6079" t="str">
        <f t="shared" si="222"/>
        <v>561380</v>
      </c>
      <c r="E6079" t="s">
        <v>5997</v>
      </c>
      <c r="F6079" t="s">
        <v>11</v>
      </c>
    </row>
    <row r="6080" spans="1:6" x14ac:dyDescent="0.25">
      <c r="A6080" t="str">
        <f>"48283053"</f>
        <v>48283053</v>
      </c>
      <c r="B6080" t="s">
        <v>6387</v>
      </c>
      <c r="C6080" t="s">
        <v>7</v>
      </c>
      <c r="D6080" t="str">
        <f t="shared" si="222"/>
        <v>561380</v>
      </c>
      <c r="E6080" t="s">
        <v>5997</v>
      </c>
      <c r="F6080" t="s">
        <v>9</v>
      </c>
    </row>
    <row r="6081" spans="1:6" x14ac:dyDescent="0.25">
      <c r="A6081" t="str">
        <f>"44223901"</f>
        <v>44223901</v>
      </c>
      <c r="B6081" t="s">
        <v>6388</v>
      </c>
      <c r="C6081" t="s">
        <v>7</v>
      </c>
      <c r="D6081" t="str">
        <f t="shared" si="222"/>
        <v>561380</v>
      </c>
      <c r="E6081" t="s">
        <v>5997</v>
      </c>
      <c r="F6081" t="s">
        <v>29</v>
      </c>
    </row>
    <row r="6082" spans="1:6" x14ac:dyDescent="0.25">
      <c r="A6082" t="str">
        <f>"46750525"</f>
        <v>46750525</v>
      </c>
      <c r="B6082" t="s">
        <v>6389</v>
      </c>
      <c r="C6082" t="s">
        <v>7</v>
      </c>
      <c r="D6082" t="str">
        <f t="shared" si="222"/>
        <v>561380</v>
      </c>
      <c r="E6082" t="s">
        <v>5997</v>
      </c>
      <c r="F6082" t="s">
        <v>9</v>
      </c>
    </row>
    <row r="6083" spans="1:6" x14ac:dyDescent="0.25">
      <c r="A6083" t="str">
        <f>"46750584"</f>
        <v>46750584</v>
      </c>
      <c r="B6083" t="s">
        <v>6390</v>
      </c>
      <c r="C6083" t="s">
        <v>7</v>
      </c>
      <c r="D6083" t="str">
        <f t="shared" si="222"/>
        <v>561380</v>
      </c>
      <c r="E6083" t="s">
        <v>5997</v>
      </c>
      <c r="F6083" t="s">
        <v>9</v>
      </c>
    </row>
    <row r="6084" spans="1:6" x14ac:dyDescent="0.25">
      <c r="A6084" t="str">
        <f>"46750894"</f>
        <v>46750894</v>
      </c>
      <c r="B6084" t="s">
        <v>6391</v>
      </c>
      <c r="C6084" t="s">
        <v>7</v>
      </c>
      <c r="D6084" t="str">
        <f t="shared" si="222"/>
        <v>561380</v>
      </c>
      <c r="E6084" t="s">
        <v>5997</v>
      </c>
      <c r="F6084" t="s">
        <v>9</v>
      </c>
    </row>
    <row r="6085" spans="1:6" x14ac:dyDescent="0.25">
      <c r="A6085" t="str">
        <f>"63778050"</f>
        <v>63778050</v>
      </c>
      <c r="B6085" t="s">
        <v>6392</v>
      </c>
      <c r="C6085" t="s">
        <v>7</v>
      </c>
      <c r="D6085" t="str">
        <f t="shared" si="222"/>
        <v>561380</v>
      </c>
      <c r="E6085" t="s">
        <v>5997</v>
      </c>
      <c r="F6085" t="s">
        <v>35</v>
      </c>
    </row>
    <row r="6086" spans="1:6" x14ac:dyDescent="0.25">
      <c r="A6086" t="str">
        <f>"14186471"</f>
        <v>14186471</v>
      </c>
      <c r="B6086" t="s">
        <v>6393</v>
      </c>
      <c r="C6086" t="s">
        <v>7</v>
      </c>
      <c r="D6086" t="str">
        <f t="shared" si="222"/>
        <v>561380</v>
      </c>
      <c r="E6086" t="s">
        <v>5997</v>
      </c>
      <c r="F6086" t="s">
        <v>35</v>
      </c>
    </row>
    <row r="6087" spans="1:6" x14ac:dyDescent="0.25">
      <c r="A6087" t="str">
        <f>"05732611"</f>
        <v>05732611</v>
      </c>
      <c r="B6087" t="s">
        <v>6394</v>
      </c>
      <c r="C6087" t="s">
        <v>7</v>
      </c>
      <c r="D6087" t="str">
        <f t="shared" si="222"/>
        <v>561380</v>
      </c>
      <c r="E6087" t="s">
        <v>5997</v>
      </c>
      <c r="F6087" t="s">
        <v>11</v>
      </c>
    </row>
    <row r="6088" spans="1:6" x14ac:dyDescent="0.25">
      <c r="A6088" t="str">
        <f>"02445697"</f>
        <v>02445697</v>
      </c>
      <c r="B6088" t="s">
        <v>6395</v>
      </c>
      <c r="C6088" t="s">
        <v>7</v>
      </c>
      <c r="D6088" t="str">
        <f t="shared" si="222"/>
        <v>561380</v>
      </c>
      <c r="E6088" t="s">
        <v>5997</v>
      </c>
      <c r="F6088" t="s">
        <v>389</v>
      </c>
    </row>
    <row r="6089" spans="1:6" x14ac:dyDescent="0.25">
      <c r="A6089" t="str">
        <f>"28557981"</f>
        <v>28557981</v>
      </c>
      <c r="B6089" t="s">
        <v>6396</v>
      </c>
      <c r="C6089" t="s">
        <v>7</v>
      </c>
      <c r="D6089" t="str">
        <f t="shared" si="222"/>
        <v>561380</v>
      </c>
      <c r="E6089" t="s">
        <v>5997</v>
      </c>
      <c r="F6089" t="s">
        <v>11</v>
      </c>
    </row>
    <row r="6090" spans="1:6" x14ac:dyDescent="0.25">
      <c r="A6090" t="str">
        <f>"70870594"</f>
        <v>70870594</v>
      </c>
      <c r="B6090" t="s">
        <v>6397</v>
      </c>
      <c r="C6090" t="s">
        <v>15</v>
      </c>
      <c r="D6090" t="str">
        <f t="shared" si="222"/>
        <v>561380</v>
      </c>
      <c r="E6090" t="s">
        <v>5997</v>
      </c>
      <c r="F6090" t="s">
        <v>11</v>
      </c>
    </row>
    <row r="6091" spans="1:6" x14ac:dyDescent="0.25">
      <c r="A6091" t="str">
        <f>"70982261"</f>
        <v>70982261</v>
      </c>
      <c r="B6091" t="s">
        <v>6398</v>
      </c>
      <c r="C6091" t="s">
        <v>20</v>
      </c>
      <c r="D6091" t="str">
        <f t="shared" si="222"/>
        <v>561380</v>
      </c>
      <c r="E6091" t="s">
        <v>5997</v>
      </c>
      <c r="F6091" t="s">
        <v>21</v>
      </c>
    </row>
    <row r="6092" spans="1:6" x14ac:dyDescent="0.25">
      <c r="A6092" t="str">
        <f>"00433519"</f>
        <v>00433519</v>
      </c>
      <c r="B6092" t="s">
        <v>6399</v>
      </c>
      <c r="C6092" t="s">
        <v>15</v>
      </c>
      <c r="D6092" t="str">
        <f t="shared" si="222"/>
        <v>561380</v>
      </c>
      <c r="E6092" t="s">
        <v>5997</v>
      </c>
      <c r="F6092" t="s">
        <v>29</v>
      </c>
    </row>
    <row r="6093" spans="1:6" x14ac:dyDescent="0.25">
      <c r="A6093" t="str">
        <f>"44223854"</f>
        <v>44223854</v>
      </c>
      <c r="B6093" t="s">
        <v>6400</v>
      </c>
      <c r="C6093" t="s">
        <v>7</v>
      </c>
      <c r="D6093" t="str">
        <f t="shared" si="222"/>
        <v>561380</v>
      </c>
      <c r="E6093" t="s">
        <v>5997</v>
      </c>
      <c r="F6093" t="s">
        <v>139</v>
      </c>
    </row>
    <row r="6094" spans="1:6" x14ac:dyDescent="0.25">
      <c r="A6094" t="str">
        <f>"41325435"</f>
        <v>41325435</v>
      </c>
      <c r="B6094" t="s">
        <v>6401</v>
      </c>
      <c r="C6094" t="s">
        <v>7</v>
      </c>
      <c r="D6094" t="str">
        <f t="shared" si="222"/>
        <v>561380</v>
      </c>
      <c r="E6094" t="s">
        <v>5997</v>
      </c>
      <c r="F6094" t="s">
        <v>11</v>
      </c>
    </row>
    <row r="6095" spans="1:6" x14ac:dyDescent="0.25">
      <c r="A6095" t="str">
        <f>"22898280"</f>
        <v>22898280</v>
      </c>
      <c r="B6095" t="s">
        <v>6402</v>
      </c>
      <c r="C6095" t="s">
        <v>7</v>
      </c>
      <c r="D6095" t="str">
        <f t="shared" si="222"/>
        <v>561380</v>
      </c>
      <c r="E6095" t="s">
        <v>5997</v>
      </c>
      <c r="F6095" t="s">
        <v>11</v>
      </c>
    </row>
    <row r="6096" spans="1:6" x14ac:dyDescent="0.25">
      <c r="A6096" t="str">
        <f>"14436132"</f>
        <v>14436132</v>
      </c>
      <c r="B6096" t="s">
        <v>6403</v>
      </c>
      <c r="C6096" t="s">
        <v>27</v>
      </c>
      <c r="D6096" t="str">
        <f t="shared" si="222"/>
        <v>561380</v>
      </c>
      <c r="E6096" t="s">
        <v>5997</v>
      </c>
      <c r="F6096" t="s">
        <v>62</v>
      </c>
    </row>
    <row r="6097" spans="1:6" x14ac:dyDescent="0.25">
      <c r="A6097" t="str">
        <f>"27022480"</f>
        <v>27022480</v>
      </c>
      <c r="B6097" t="s">
        <v>6404</v>
      </c>
      <c r="C6097" t="s">
        <v>7</v>
      </c>
      <c r="D6097" t="str">
        <f t="shared" si="222"/>
        <v>561380</v>
      </c>
      <c r="E6097" t="s">
        <v>5997</v>
      </c>
      <c r="F6097" t="s">
        <v>621</v>
      </c>
    </row>
    <row r="6098" spans="1:6" x14ac:dyDescent="0.25">
      <c r="A6098" t="str">
        <f>"22824391"</f>
        <v>22824391</v>
      </c>
      <c r="B6098" t="s">
        <v>6405</v>
      </c>
      <c r="C6098" t="s">
        <v>7</v>
      </c>
      <c r="D6098" t="str">
        <f t="shared" si="222"/>
        <v>561380</v>
      </c>
      <c r="E6098" t="s">
        <v>5997</v>
      </c>
      <c r="F6098" t="s">
        <v>18</v>
      </c>
    </row>
    <row r="6099" spans="1:6" x14ac:dyDescent="0.25">
      <c r="A6099" t="str">
        <f>"22908552"</f>
        <v>22908552</v>
      </c>
      <c r="B6099" t="s">
        <v>6406</v>
      </c>
      <c r="C6099" t="s">
        <v>7</v>
      </c>
      <c r="D6099" t="str">
        <f t="shared" si="222"/>
        <v>561380</v>
      </c>
      <c r="E6099" t="s">
        <v>5997</v>
      </c>
      <c r="F6099" t="s">
        <v>137</v>
      </c>
    </row>
    <row r="6100" spans="1:6" x14ac:dyDescent="0.25">
      <c r="A6100" t="str">
        <f>"26616335"</f>
        <v>26616335</v>
      </c>
      <c r="B6100" t="s">
        <v>6407</v>
      </c>
      <c r="C6100" t="s">
        <v>7</v>
      </c>
      <c r="D6100" t="str">
        <f t="shared" si="222"/>
        <v>561380</v>
      </c>
      <c r="E6100" t="s">
        <v>5997</v>
      </c>
      <c r="F6100" t="s">
        <v>29</v>
      </c>
    </row>
    <row r="6101" spans="1:6" x14ac:dyDescent="0.25">
      <c r="A6101" t="str">
        <f>"66110947"</f>
        <v>66110947</v>
      </c>
      <c r="B6101" t="s">
        <v>6408</v>
      </c>
      <c r="C6101" t="s">
        <v>20</v>
      </c>
      <c r="D6101" t="str">
        <f t="shared" si="222"/>
        <v>561380</v>
      </c>
      <c r="E6101" t="s">
        <v>5997</v>
      </c>
      <c r="F6101" t="s">
        <v>21</v>
      </c>
    </row>
    <row r="6102" spans="1:6" x14ac:dyDescent="0.25">
      <c r="A6102" t="str">
        <f>"70698261"</f>
        <v>70698261</v>
      </c>
      <c r="B6102" t="s">
        <v>6409</v>
      </c>
      <c r="C6102" t="s">
        <v>20</v>
      </c>
      <c r="D6102" t="str">
        <f t="shared" si="222"/>
        <v>561380</v>
      </c>
      <c r="E6102" t="s">
        <v>5997</v>
      </c>
      <c r="F6102" t="s">
        <v>21</v>
      </c>
    </row>
    <row r="6103" spans="1:6" x14ac:dyDescent="0.25">
      <c r="A6103" t="str">
        <f>"65650336"</f>
        <v>65650336</v>
      </c>
      <c r="B6103" t="s">
        <v>6410</v>
      </c>
      <c r="C6103" t="s">
        <v>20</v>
      </c>
      <c r="D6103" t="str">
        <f t="shared" si="222"/>
        <v>561380</v>
      </c>
      <c r="E6103" t="s">
        <v>5997</v>
      </c>
      <c r="F6103" t="s">
        <v>21</v>
      </c>
    </row>
    <row r="6104" spans="1:6" x14ac:dyDescent="0.25">
      <c r="A6104" t="str">
        <f>"75148838"</f>
        <v>75148838</v>
      </c>
      <c r="B6104" t="s">
        <v>6411</v>
      </c>
      <c r="C6104" t="s">
        <v>20</v>
      </c>
      <c r="D6104" t="str">
        <f t="shared" si="222"/>
        <v>561380</v>
      </c>
      <c r="E6104" t="s">
        <v>5997</v>
      </c>
      <c r="F6104" t="s">
        <v>21</v>
      </c>
    </row>
    <row r="6105" spans="1:6" x14ac:dyDescent="0.25">
      <c r="A6105" t="str">
        <f>"49864645"</f>
        <v>49864645</v>
      </c>
      <c r="B6105" t="s">
        <v>6412</v>
      </c>
      <c r="C6105" t="s">
        <v>15</v>
      </c>
      <c r="D6105" t="str">
        <f t="shared" si="222"/>
        <v>561380</v>
      </c>
      <c r="E6105" t="s">
        <v>5997</v>
      </c>
      <c r="F6105" t="s">
        <v>29</v>
      </c>
    </row>
    <row r="6106" spans="1:6" x14ac:dyDescent="0.25">
      <c r="A6106" t="str">
        <f>"70901864"</f>
        <v>70901864</v>
      </c>
      <c r="B6106" t="s">
        <v>6413</v>
      </c>
      <c r="C6106" t="s">
        <v>15</v>
      </c>
      <c r="D6106" t="str">
        <f t="shared" si="222"/>
        <v>561380</v>
      </c>
      <c r="E6106" t="s">
        <v>5997</v>
      </c>
      <c r="F6106" t="s">
        <v>29</v>
      </c>
    </row>
    <row r="6107" spans="1:6" x14ac:dyDescent="0.25">
      <c r="A6107" t="str">
        <f>"49864602"</f>
        <v>49864602</v>
      </c>
      <c r="B6107" t="s">
        <v>6414</v>
      </c>
      <c r="C6107" t="s">
        <v>15</v>
      </c>
      <c r="D6107" t="str">
        <f t="shared" si="222"/>
        <v>561380</v>
      </c>
      <c r="E6107" t="s">
        <v>5997</v>
      </c>
      <c r="F6107" t="s">
        <v>29</v>
      </c>
    </row>
    <row r="6108" spans="1:6" x14ac:dyDescent="0.25">
      <c r="A6108" t="str">
        <f>"49864467"</f>
        <v>49864467</v>
      </c>
      <c r="B6108" t="s">
        <v>6415</v>
      </c>
      <c r="C6108" t="s">
        <v>15</v>
      </c>
      <c r="D6108" t="str">
        <f t="shared" si="222"/>
        <v>561380</v>
      </c>
      <c r="E6108" t="s">
        <v>5997</v>
      </c>
      <c r="F6108" t="s">
        <v>29</v>
      </c>
    </row>
    <row r="6109" spans="1:6" x14ac:dyDescent="0.25">
      <c r="A6109" t="str">
        <f>"75047641"</f>
        <v>75047641</v>
      </c>
      <c r="B6109" t="s">
        <v>6416</v>
      </c>
      <c r="C6109" t="s">
        <v>20</v>
      </c>
      <c r="D6109" t="str">
        <f t="shared" si="222"/>
        <v>561380</v>
      </c>
      <c r="E6109" t="s">
        <v>5997</v>
      </c>
      <c r="F6109" t="s">
        <v>21</v>
      </c>
    </row>
    <row r="6110" spans="1:6" x14ac:dyDescent="0.25">
      <c r="A6110" t="str">
        <f>"70698058"</f>
        <v>70698058</v>
      </c>
      <c r="B6110" t="s">
        <v>6417</v>
      </c>
      <c r="C6110" t="s">
        <v>15</v>
      </c>
      <c r="D6110" t="str">
        <f t="shared" si="222"/>
        <v>561380</v>
      </c>
      <c r="E6110" t="s">
        <v>5997</v>
      </c>
      <c r="F6110" t="s">
        <v>11</v>
      </c>
    </row>
    <row r="6111" spans="1:6" x14ac:dyDescent="0.25">
      <c r="A6111" t="str">
        <f>"70928894"</f>
        <v>70928894</v>
      </c>
      <c r="B6111" t="s">
        <v>6418</v>
      </c>
      <c r="C6111" t="s">
        <v>20</v>
      </c>
      <c r="D6111" t="str">
        <f t="shared" si="222"/>
        <v>561380</v>
      </c>
      <c r="E6111" t="s">
        <v>5997</v>
      </c>
      <c r="F6111" t="s">
        <v>21</v>
      </c>
    </row>
    <row r="6112" spans="1:6" x14ac:dyDescent="0.25">
      <c r="A6112" t="str">
        <f>"71241817"</f>
        <v>71241817</v>
      </c>
      <c r="B6112" t="s">
        <v>6419</v>
      </c>
      <c r="C6112" t="s">
        <v>20</v>
      </c>
      <c r="D6112" t="str">
        <f t="shared" si="222"/>
        <v>561380</v>
      </c>
      <c r="E6112" t="s">
        <v>5997</v>
      </c>
      <c r="F6112" t="s">
        <v>21</v>
      </c>
    </row>
    <row r="6113" spans="1:6" x14ac:dyDescent="0.25">
      <c r="A6113" t="str">
        <f>"72029382"</f>
        <v>72029382</v>
      </c>
      <c r="B6113" t="s">
        <v>6420</v>
      </c>
      <c r="C6113" t="s">
        <v>20</v>
      </c>
      <c r="D6113" t="str">
        <f t="shared" si="222"/>
        <v>561380</v>
      </c>
      <c r="E6113" t="s">
        <v>5997</v>
      </c>
      <c r="F6113" t="s">
        <v>21</v>
      </c>
    </row>
    <row r="6114" spans="1:6" x14ac:dyDescent="0.25">
      <c r="A6114" t="str">
        <f>"63778408"</f>
        <v>63778408</v>
      </c>
      <c r="B6114" t="s">
        <v>6421</v>
      </c>
      <c r="C6114" t="s">
        <v>20</v>
      </c>
      <c r="D6114" t="str">
        <f t="shared" si="222"/>
        <v>561380</v>
      </c>
      <c r="E6114" t="s">
        <v>5997</v>
      </c>
      <c r="F6114" t="s">
        <v>21</v>
      </c>
    </row>
    <row r="6115" spans="1:6" x14ac:dyDescent="0.25">
      <c r="A6115" t="str">
        <f>"04037618"</f>
        <v>04037618</v>
      </c>
      <c r="B6115" t="s">
        <v>6422</v>
      </c>
      <c r="C6115" t="s">
        <v>20</v>
      </c>
      <c r="D6115" t="str">
        <f t="shared" si="222"/>
        <v>561380</v>
      </c>
      <c r="E6115" t="s">
        <v>5997</v>
      </c>
      <c r="F6115" t="s">
        <v>21</v>
      </c>
    </row>
    <row r="6116" spans="1:6" x14ac:dyDescent="0.25">
      <c r="A6116" t="str">
        <f>"03631672"</f>
        <v>03631672</v>
      </c>
      <c r="B6116" t="s">
        <v>6423</v>
      </c>
      <c r="C6116" t="s">
        <v>20</v>
      </c>
      <c r="D6116" t="str">
        <f t="shared" si="222"/>
        <v>561380</v>
      </c>
      <c r="E6116" t="s">
        <v>5997</v>
      </c>
      <c r="F6116" t="s">
        <v>21</v>
      </c>
    </row>
    <row r="6117" spans="1:6" x14ac:dyDescent="0.25">
      <c r="A6117" t="str">
        <f>"22421823"</f>
        <v>22421823</v>
      </c>
      <c r="B6117" t="s">
        <v>6424</v>
      </c>
      <c r="C6117" t="s">
        <v>20</v>
      </c>
      <c r="D6117" t="str">
        <f t="shared" si="222"/>
        <v>561380</v>
      </c>
      <c r="E6117" t="s">
        <v>5997</v>
      </c>
      <c r="F6117" t="s">
        <v>21</v>
      </c>
    </row>
    <row r="6118" spans="1:6" x14ac:dyDescent="0.25">
      <c r="A6118" t="str">
        <f>"11718099"</f>
        <v>11718099</v>
      </c>
      <c r="B6118" t="s">
        <v>6425</v>
      </c>
      <c r="C6118" t="s">
        <v>7</v>
      </c>
      <c r="D6118" t="str">
        <f t="shared" si="222"/>
        <v>561380</v>
      </c>
      <c r="E6118" t="s">
        <v>5997</v>
      </c>
      <c r="F6118" t="s">
        <v>18</v>
      </c>
    </row>
    <row r="6119" spans="1:6" x14ac:dyDescent="0.25">
      <c r="A6119" t="str">
        <f>"49864181"</f>
        <v>49864181</v>
      </c>
      <c r="B6119" t="s">
        <v>6426</v>
      </c>
      <c r="C6119" t="s">
        <v>15</v>
      </c>
      <c r="D6119" t="str">
        <f t="shared" si="222"/>
        <v>561380</v>
      </c>
      <c r="E6119" t="s">
        <v>5997</v>
      </c>
      <c r="F6119" t="s">
        <v>18</v>
      </c>
    </row>
    <row r="6120" spans="1:6" x14ac:dyDescent="0.25">
      <c r="A6120" t="str">
        <f>"63778696"</f>
        <v>63778696</v>
      </c>
      <c r="B6120" t="s">
        <v>6427</v>
      </c>
      <c r="C6120" t="s">
        <v>20</v>
      </c>
      <c r="D6120" t="str">
        <f t="shared" si="222"/>
        <v>561380</v>
      </c>
      <c r="E6120" t="s">
        <v>5997</v>
      </c>
      <c r="F6120" t="s">
        <v>21</v>
      </c>
    </row>
    <row r="6121" spans="1:6" x14ac:dyDescent="0.25">
      <c r="A6121" t="str">
        <f>"62237616"</f>
        <v>62237616</v>
      </c>
      <c r="B6121" t="s">
        <v>6428</v>
      </c>
      <c r="C6121" t="s">
        <v>20</v>
      </c>
      <c r="D6121" t="str">
        <f t="shared" si="222"/>
        <v>561380</v>
      </c>
      <c r="E6121" t="s">
        <v>5997</v>
      </c>
      <c r="F6121" t="s">
        <v>21</v>
      </c>
    </row>
    <row r="6122" spans="1:6" x14ac:dyDescent="0.25">
      <c r="A6122" t="str">
        <f>"04237471"</f>
        <v>04237471</v>
      </c>
      <c r="B6122" t="s">
        <v>6429</v>
      </c>
      <c r="C6122" t="s">
        <v>20</v>
      </c>
      <c r="D6122" t="str">
        <f t="shared" si="222"/>
        <v>561380</v>
      </c>
      <c r="E6122" t="s">
        <v>5997</v>
      </c>
      <c r="F6122" t="s">
        <v>21</v>
      </c>
    </row>
    <row r="6123" spans="1:6" x14ac:dyDescent="0.25">
      <c r="A6123" t="str">
        <f>"22895001"</f>
        <v>22895001</v>
      </c>
      <c r="B6123" t="s">
        <v>6430</v>
      </c>
      <c r="C6123" t="s">
        <v>20</v>
      </c>
      <c r="D6123" t="str">
        <f t="shared" si="222"/>
        <v>561380</v>
      </c>
      <c r="E6123" t="s">
        <v>5997</v>
      </c>
      <c r="F6123" t="s">
        <v>21</v>
      </c>
    </row>
    <row r="6124" spans="1:6" x14ac:dyDescent="0.25">
      <c r="A6124" t="str">
        <f>"63778271"</f>
        <v>63778271</v>
      </c>
      <c r="B6124" t="s">
        <v>6431</v>
      </c>
      <c r="C6124" t="s">
        <v>20</v>
      </c>
      <c r="D6124" t="str">
        <f t="shared" si="222"/>
        <v>561380</v>
      </c>
      <c r="E6124" t="s">
        <v>5997</v>
      </c>
      <c r="F6124" t="s">
        <v>21</v>
      </c>
    </row>
    <row r="6125" spans="1:6" x14ac:dyDescent="0.25">
      <c r="A6125" t="str">
        <f>"18381324"</f>
        <v>18381324</v>
      </c>
      <c r="B6125" t="s">
        <v>6432</v>
      </c>
      <c r="C6125" t="s">
        <v>20</v>
      </c>
      <c r="D6125" t="str">
        <f t="shared" si="222"/>
        <v>561380</v>
      </c>
      <c r="E6125" t="s">
        <v>5997</v>
      </c>
      <c r="F6125" t="s">
        <v>21</v>
      </c>
    </row>
    <row r="6126" spans="1:6" x14ac:dyDescent="0.25">
      <c r="A6126" t="str">
        <f>"21042667"</f>
        <v>21042667</v>
      </c>
      <c r="B6126" t="s">
        <v>6433</v>
      </c>
      <c r="C6126" t="s">
        <v>20</v>
      </c>
      <c r="D6126" t="str">
        <f t="shared" si="222"/>
        <v>561380</v>
      </c>
      <c r="E6126" t="s">
        <v>5997</v>
      </c>
      <c r="F6126" t="s">
        <v>21</v>
      </c>
    </row>
    <row r="6127" spans="1:6" x14ac:dyDescent="0.25">
      <c r="A6127" t="str">
        <f>"14868211"</f>
        <v>14868211</v>
      </c>
      <c r="B6127" t="s">
        <v>6434</v>
      </c>
      <c r="C6127" t="s">
        <v>20</v>
      </c>
      <c r="D6127" t="str">
        <f t="shared" si="222"/>
        <v>561380</v>
      </c>
      <c r="E6127" t="s">
        <v>5997</v>
      </c>
      <c r="F6127" t="s">
        <v>21</v>
      </c>
    </row>
    <row r="6128" spans="1:6" x14ac:dyDescent="0.25">
      <c r="A6128" t="str">
        <f>"65732995"</f>
        <v>65732995</v>
      </c>
      <c r="B6128" t="s">
        <v>6435</v>
      </c>
      <c r="C6128" t="s">
        <v>20</v>
      </c>
      <c r="D6128" t="str">
        <f t="shared" si="222"/>
        <v>561380</v>
      </c>
      <c r="E6128" t="s">
        <v>5997</v>
      </c>
      <c r="F6128" t="s">
        <v>21</v>
      </c>
    </row>
    <row r="6129" spans="1:6" x14ac:dyDescent="0.25">
      <c r="A6129" t="str">
        <f>"65732987"</f>
        <v>65732987</v>
      </c>
      <c r="B6129" t="s">
        <v>6436</v>
      </c>
      <c r="C6129" t="s">
        <v>20</v>
      </c>
      <c r="D6129" t="str">
        <f t="shared" si="222"/>
        <v>561380</v>
      </c>
      <c r="E6129" t="s">
        <v>5997</v>
      </c>
      <c r="F6129" t="s">
        <v>21</v>
      </c>
    </row>
    <row r="6130" spans="1:6" x14ac:dyDescent="0.25">
      <c r="A6130" t="str">
        <f>"70814724"</f>
        <v>70814724</v>
      </c>
      <c r="B6130" t="s">
        <v>6437</v>
      </c>
      <c r="C6130" t="s">
        <v>20</v>
      </c>
      <c r="D6130" t="str">
        <f t="shared" si="222"/>
        <v>561380</v>
      </c>
      <c r="E6130" t="s">
        <v>5997</v>
      </c>
      <c r="F6130" t="s">
        <v>21</v>
      </c>
    </row>
    <row r="6131" spans="1:6" x14ac:dyDescent="0.25">
      <c r="A6131" t="str">
        <f>"65650000"</f>
        <v>65650000</v>
      </c>
      <c r="B6131" t="s">
        <v>6438</v>
      </c>
      <c r="C6131" t="s">
        <v>20</v>
      </c>
      <c r="D6131" t="str">
        <f t="shared" si="222"/>
        <v>561380</v>
      </c>
      <c r="E6131" t="s">
        <v>5997</v>
      </c>
      <c r="F6131" t="s">
        <v>21</v>
      </c>
    </row>
    <row r="6132" spans="1:6" x14ac:dyDescent="0.25">
      <c r="A6132" t="str">
        <f>"75095823"</f>
        <v>75095823</v>
      </c>
      <c r="B6132" t="s">
        <v>6439</v>
      </c>
      <c r="C6132" t="s">
        <v>20</v>
      </c>
      <c r="D6132" t="str">
        <f t="shared" si="222"/>
        <v>561380</v>
      </c>
      <c r="E6132" t="s">
        <v>5997</v>
      </c>
      <c r="F6132" t="s">
        <v>21</v>
      </c>
    </row>
    <row r="6133" spans="1:6" x14ac:dyDescent="0.25">
      <c r="A6133" t="str">
        <f>"62237268"</f>
        <v>62237268</v>
      </c>
      <c r="B6133" t="s">
        <v>6440</v>
      </c>
      <c r="C6133" t="s">
        <v>20</v>
      </c>
      <c r="D6133" t="str">
        <f t="shared" si="222"/>
        <v>561380</v>
      </c>
      <c r="E6133" t="s">
        <v>5997</v>
      </c>
      <c r="F6133" t="s">
        <v>21</v>
      </c>
    </row>
    <row r="6134" spans="1:6" x14ac:dyDescent="0.25">
      <c r="A6134" t="str">
        <f>"62237365"</f>
        <v>62237365</v>
      </c>
      <c r="B6134" t="s">
        <v>6441</v>
      </c>
      <c r="C6134" t="s">
        <v>20</v>
      </c>
      <c r="D6134" t="str">
        <f t="shared" si="222"/>
        <v>561380</v>
      </c>
      <c r="E6134" t="s">
        <v>5997</v>
      </c>
      <c r="F6134" t="s">
        <v>21</v>
      </c>
    </row>
    <row r="6135" spans="1:6" x14ac:dyDescent="0.25">
      <c r="A6135" t="str">
        <f>"23042915"</f>
        <v>23042915</v>
      </c>
      <c r="B6135" t="s">
        <v>6442</v>
      </c>
      <c r="C6135" t="s">
        <v>20</v>
      </c>
      <c r="D6135" t="str">
        <f t="shared" si="222"/>
        <v>561380</v>
      </c>
      <c r="E6135" t="s">
        <v>5997</v>
      </c>
      <c r="F6135" t="s">
        <v>21</v>
      </c>
    </row>
    <row r="6136" spans="1:6" x14ac:dyDescent="0.25">
      <c r="A6136" t="str">
        <f>"75091674"</f>
        <v>75091674</v>
      </c>
      <c r="B6136" t="s">
        <v>6443</v>
      </c>
      <c r="C6136" t="s">
        <v>20</v>
      </c>
      <c r="D6136" t="str">
        <f t="shared" si="222"/>
        <v>561380</v>
      </c>
      <c r="E6136" t="s">
        <v>5997</v>
      </c>
      <c r="F6136" t="s">
        <v>21</v>
      </c>
    </row>
    <row r="6137" spans="1:6" x14ac:dyDescent="0.25">
      <c r="A6137" t="str">
        <f>"48282243"</f>
        <v>48282243</v>
      </c>
      <c r="B6137" t="s">
        <v>6444</v>
      </c>
      <c r="C6137" t="s">
        <v>7</v>
      </c>
      <c r="D6137" t="str">
        <f t="shared" si="222"/>
        <v>561380</v>
      </c>
      <c r="E6137" t="s">
        <v>5997</v>
      </c>
      <c r="F6137" t="s">
        <v>11</v>
      </c>
    </row>
    <row r="6138" spans="1:6" x14ac:dyDescent="0.25">
      <c r="A6138" t="str">
        <f>"08928177"</f>
        <v>08928177</v>
      </c>
      <c r="B6138" t="s">
        <v>6445</v>
      </c>
      <c r="C6138" t="s">
        <v>7</v>
      </c>
      <c r="D6138" t="str">
        <f t="shared" si="222"/>
        <v>561380</v>
      </c>
      <c r="E6138" t="s">
        <v>5997</v>
      </c>
      <c r="F6138" t="s">
        <v>11</v>
      </c>
    </row>
    <row r="6139" spans="1:6" x14ac:dyDescent="0.25">
      <c r="A6139" t="str">
        <f>"14203731"</f>
        <v>14203731</v>
      </c>
      <c r="B6139" t="s">
        <v>6446</v>
      </c>
      <c r="C6139" t="s">
        <v>7</v>
      </c>
      <c r="D6139" t="str">
        <f t="shared" si="222"/>
        <v>561380</v>
      </c>
      <c r="E6139" t="s">
        <v>5997</v>
      </c>
      <c r="F6139" t="s">
        <v>29</v>
      </c>
    </row>
    <row r="6140" spans="1:6" x14ac:dyDescent="0.25">
      <c r="A6140" t="str">
        <f>"17343364"</f>
        <v>17343364</v>
      </c>
      <c r="B6140" t="s">
        <v>6447</v>
      </c>
      <c r="C6140" t="s">
        <v>7</v>
      </c>
      <c r="D6140" t="str">
        <f t="shared" si="222"/>
        <v>561380</v>
      </c>
      <c r="E6140" t="s">
        <v>5997</v>
      </c>
      <c r="F6140" t="s">
        <v>11</v>
      </c>
    </row>
    <row r="6141" spans="1:6" x14ac:dyDescent="0.25">
      <c r="A6141" t="str">
        <f>"28558511"</f>
        <v>28558511</v>
      </c>
      <c r="B6141" t="s">
        <v>6448</v>
      </c>
      <c r="C6141" t="s">
        <v>7</v>
      </c>
      <c r="D6141" t="str">
        <f t="shared" si="222"/>
        <v>561380</v>
      </c>
      <c r="E6141" t="s">
        <v>5997</v>
      </c>
      <c r="F6141" t="s">
        <v>424</v>
      </c>
    </row>
    <row r="6142" spans="1:6" x14ac:dyDescent="0.25">
      <c r="A6142" t="str">
        <f>"26645319"</f>
        <v>26645319</v>
      </c>
      <c r="B6142" t="s">
        <v>6449</v>
      </c>
      <c r="C6142" t="s">
        <v>7</v>
      </c>
      <c r="D6142" t="str">
        <f t="shared" si="222"/>
        <v>561380</v>
      </c>
      <c r="E6142" t="s">
        <v>5997</v>
      </c>
      <c r="F6142" t="s">
        <v>9</v>
      </c>
    </row>
    <row r="6143" spans="1:6" x14ac:dyDescent="0.25">
      <c r="A6143" t="str">
        <f>"22900365"</f>
        <v>22900365</v>
      </c>
      <c r="B6143" t="s">
        <v>6450</v>
      </c>
      <c r="C6143" t="s">
        <v>7</v>
      </c>
      <c r="D6143" t="str">
        <f t="shared" ref="D6143:D6174" si="223">"563960"</f>
        <v>563960</v>
      </c>
      <c r="E6143" t="s">
        <v>6451</v>
      </c>
      <c r="F6143" t="s">
        <v>11</v>
      </c>
    </row>
    <row r="6144" spans="1:6" x14ac:dyDescent="0.25">
      <c r="A6144" t="str">
        <f>"08046905"</f>
        <v>08046905</v>
      </c>
      <c r="B6144" t="s">
        <v>6452</v>
      </c>
      <c r="C6144" t="s">
        <v>7</v>
      </c>
      <c r="D6144" t="str">
        <f t="shared" si="223"/>
        <v>563960</v>
      </c>
      <c r="E6144" t="s">
        <v>6451</v>
      </c>
      <c r="F6144" t="s">
        <v>11</v>
      </c>
    </row>
    <row r="6145" spans="1:6" x14ac:dyDescent="0.25">
      <c r="A6145" t="str">
        <f>"22662294"</f>
        <v>22662294</v>
      </c>
      <c r="B6145" t="s">
        <v>6453</v>
      </c>
      <c r="C6145" t="s">
        <v>7</v>
      </c>
      <c r="D6145" t="str">
        <f t="shared" si="223"/>
        <v>563960</v>
      </c>
      <c r="E6145" t="s">
        <v>6451</v>
      </c>
      <c r="F6145" t="s">
        <v>11</v>
      </c>
    </row>
    <row r="6146" spans="1:6" x14ac:dyDescent="0.25">
      <c r="A6146" t="str">
        <f>"22767444"</f>
        <v>22767444</v>
      </c>
      <c r="B6146" t="s">
        <v>6454</v>
      </c>
      <c r="C6146" t="s">
        <v>7</v>
      </c>
      <c r="D6146" t="str">
        <f t="shared" si="223"/>
        <v>563960</v>
      </c>
      <c r="E6146" t="s">
        <v>6451</v>
      </c>
      <c r="F6146" t="s">
        <v>13</v>
      </c>
    </row>
    <row r="6147" spans="1:6" x14ac:dyDescent="0.25">
      <c r="A6147" t="str">
        <f>"22882626"</f>
        <v>22882626</v>
      </c>
      <c r="B6147" t="s">
        <v>6455</v>
      </c>
      <c r="C6147" t="s">
        <v>7</v>
      </c>
      <c r="D6147" t="str">
        <f t="shared" si="223"/>
        <v>563960</v>
      </c>
      <c r="E6147" t="s">
        <v>6451</v>
      </c>
      <c r="F6147" t="s">
        <v>62</v>
      </c>
    </row>
    <row r="6148" spans="1:6" x14ac:dyDescent="0.25">
      <c r="A6148" t="str">
        <f>"00482480"</f>
        <v>00482480</v>
      </c>
      <c r="B6148" t="s">
        <v>6456</v>
      </c>
      <c r="C6148" t="s">
        <v>15</v>
      </c>
      <c r="D6148" t="str">
        <f t="shared" si="223"/>
        <v>563960</v>
      </c>
      <c r="E6148" t="s">
        <v>6451</v>
      </c>
      <c r="F6148" t="s">
        <v>11</v>
      </c>
    </row>
    <row r="6149" spans="1:6" x14ac:dyDescent="0.25">
      <c r="A6149" t="str">
        <f>"46747109"</f>
        <v>46747109</v>
      </c>
      <c r="B6149" t="s">
        <v>6457</v>
      </c>
      <c r="C6149" t="s">
        <v>15</v>
      </c>
      <c r="D6149" t="str">
        <f t="shared" si="223"/>
        <v>563960</v>
      </c>
      <c r="E6149" t="s">
        <v>6451</v>
      </c>
      <c r="F6149" t="s">
        <v>29</v>
      </c>
    </row>
    <row r="6150" spans="1:6" x14ac:dyDescent="0.25">
      <c r="A6150" t="str">
        <f>"70229988"</f>
        <v>70229988</v>
      </c>
      <c r="B6150" t="s">
        <v>6458</v>
      </c>
      <c r="C6150" t="s">
        <v>15</v>
      </c>
      <c r="D6150" t="str">
        <f t="shared" si="223"/>
        <v>563960</v>
      </c>
      <c r="E6150" t="s">
        <v>6451</v>
      </c>
      <c r="F6150" t="s">
        <v>11</v>
      </c>
    </row>
    <row r="6151" spans="1:6" x14ac:dyDescent="0.25">
      <c r="A6151" t="str">
        <f>"22867384"</f>
        <v>22867384</v>
      </c>
      <c r="B6151" t="s">
        <v>6459</v>
      </c>
      <c r="C6151" t="s">
        <v>7</v>
      </c>
      <c r="D6151" t="str">
        <f t="shared" si="223"/>
        <v>563960</v>
      </c>
      <c r="E6151" t="s">
        <v>6451</v>
      </c>
      <c r="F6151" t="s">
        <v>328</v>
      </c>
    </row>
    <row r="6152" spans="1:6" x14ac:dyDescent="0.25">
      <c r="A6152" t="str">
        <f>"46747699"</f>
        <v>46747699</v>
      </c>
      <c r="B6152" t="s">
        <v>6460</v>
      </c>
      <c r="C6152" t="s">
        <v>7</v>
      </c>
      <c r="D6152" t="str">
        <f t="shared" si="223"/>
        <v>563960</v>
      </c>
      <c r="E6152" t="s">
        <v>6451</v>
      </c>
      <c r="F6152" t="s">
        <v>11</v>
      </c>
    </row>
    <row r="6153" spans="1:6" x14ac:dyDescent="0.25">
      <c r="A6153" t="str">
        <f>"22740619"</f>
        <v>22740619</v>
      </c>
      <c r="B6153" t="s">
        <v>6461</v>
      </c>
      <c r="C6153" t="s">
        <v>7</v>
      </c>
      <c r="D6153" t="str">
        <f t="shared" si="223"/>
        <v>563960</v>
      </c>
      <c r="E6153" t="s">
        <v>6451</v>
      </c>
      <c r="F6153" t="s">
        <v>9</v>
      </c>
    </row>
    <row r="6154" spans="1:6" x14ac:dyDescent="0.25">
      <c r="A6154" t="str">
        <f>"01350781"</f>
        <v>01350781</v>
      </c>
      <c r="B6154" t="s">
        <v>6462</v>
      </c>
      <c r="C6154" t="s">
        <v>7</v>
      </c>
      <c r="D6154" t="str">
        <f t="shared" si="223"/>
        <v>563960</v>
      </c>
      <c r="E6154" t="s">
        <v>6451</v>
      </c>
      <c r="F6154" t="s">
        <v>29</v>
      </c>
    </row>
    <row r="6155" spans="1:6" x14ac:dyDescent="0.25">
      <c r="A6155" t="str">
        <f>"07370237"</f>
        <v>07370237</v>
      </c>
      <c r="B6155" t="s">
        <v>6463</v>
      </c>
      <c r="C6155" t="s">
        <v>7</v>
      </c>
      <c r="D6155" t="str">
        <f t="shared" si="223"/>
        <v>563960</v>
      </c>
      <c r="E6155" t="s">
        <v>6451</v>
      </c>
      <c r="F6155" t="s">
        <v>35</v>
      </c>
    </row>
    <row r="6156" spans="1:6" x14ac:dyDescent="0.25">
      <c r="A6156" t="str">
        <f>"46745505"</f>
        <v>46745505</v>
      </c>
      <c r="B6156" t="s">
        <v>6464</v>
      </c>
      <c r="C6156" t="s">
        <v>37</v>
      </c>
      <c r="D6156" t="str">
        <f t="shared" si="223"/>
        <v>563960</v>
      </c>
      <c r="E6156" t="s">
        <v>6451</v>
      </c>
      <c r="F6156" t="s">
        <v>38</v>
      </c>
    </row>
    <row r="6157" spans="1:6" x14ac:dyDescent="0.25">
      <c r="A6157" t="str">
        <f>"03664546"</f>
        <v>03664546</v>
      </c>
      <c r="B6157" t="s">
        <v>6465</v>
      </c>
      <c r="C6157" t="s">
        <v>37</v>
      </c>
      <c r="D6157" t="str">
        <f t="shared" si="223"/>
        <v>563960</v>
      </c>
      <c r="E6157" t="s">
        <v>6451</v>
      </c>
      <c r="F6157" t="s">
        <v>38</v>
      </c>
    </row>
    <row r="6158" spans="1:6" x14ac:dyDescent="0.25">
      <c r="A6158" t="str">
        <f>"26560763"</f>
        <v>26560763</v>
      </c>
      <c r="B6158" t="s">
        <v>6466</v>
      </c>
      <c r="C6158" t="s">
        <v>7</v>
      </c>
      <c r="D6158" t="str">
        <f t="shared" si="223"/>
        <v>563960</v>
      </c>
      <c r="E6158" t="s">
        <v>6451</v>
      </c>
      <c r="F6158" t="s">
        <v>18</v>
      </c>
    </row>
    <row r="6159" spans="1:6" x14ac:dyDescent="0.25">
      <c r="A6159" t="str">
        <f>"46749837"</f>
        <v>46749837</v>
      </c>
      <c r="B6159" t="s">
        <v>6467</v>
      </c>
      <c r="C6159" t="s">
        <v>15</v>
      </c>
      <c r="D6159" t="str">
        <f t="shared" si="223"/>
        <v>563960</v>
      </c>
      <c r="E6159" t="s">
        <v>6451</v>
      </c>
      <c r="F6159" t="s">
        <v>139</v>
      </c>
    </row>
    <row r="6160" spans="1:6" x14ac:dyDescent="0.25">
      <c r="A6160" t="str">
        <f>"02761459"</f>
        <v>02761459</v>
      </c>
      <c r="B6160" t="s">
        <v>6468</v>
      </c>
      <c r="C6160" t="s">
        <v>7</v>
      </c>
      <c r="D6160" t="str">
        <f t="shared" si="223"/>
        <v>563960</v>
      </c>
      <c r="E6160" t="s">
        <v>6451</v>
      </c>
      <c r="F6160" t="s">
        <v>11</v>
      </c>
    </row>
    <row r="6161" spans="1:6" x14ac:dyDescent="0.25">
      <c r="A6161" t="str">
        <f>"26516292"</f>
        <v>26516292</v>
      </c>
      <c r="B6161" t="s">
        <v>6469</v>
      </c>
      <c r="C6161" t="s">
        <v>7</v>
      </c>
      <c r="D6161" t="str">
        <f t="shared" si="223"/>
        <v>563960</v>
      </c>
      <c r="E6161" t="s">
        <v>6451</v>
      </c>
      <c r="F6161" t="s">
        <v>11</v>
      </c>
    </row>
    <row r="6162" spans="1:6" x14ac:dyDescent="0.25">
      <c r="A6162" t="str">
        <f>"02210363"</f>
        <v>02210363</v>
      </c>
      <c r="B6162" t="s">
        <v>6470</v>
      </c>
      <c r="C6162" t="s">
        <v>7</v>
      </c>
      <c r="D6162" t="str">
        <f t="shared" si="223"/>
        <v>563960</v>
      </c>
      <c r="E6162" t="s">
        <v>6451</v>
      </c>
      <c r="F6162" t="s">
        <v>11</v>
      </c>
    </row>
    <row r="6163" spans="1:6" x14ac:dyDescent="0.25">
      <c r="A6163" t="str">
        <f>"09718923"</f>
        <v>09718923</v>
      </c>
      <c r="B6163" t="s">
        <v>6471</v>
      </c>
      <c r="C6163" t="s">
        <v>7</v>
      </c>
      <c r="D6163" t="str">
        <f t="shared" si="223"/>
        <v>563960</v>
      </c>
      <c r="E6163" t="s">
        <v>6451</v>
      </c>
      <c r="F6163" t="s">
        <v>62</v>
      </c>
    </row>
    <row r="6164" spans="1:6" x14ac:dyDescent="0.25">
      <c r="A6164" t="str">
        <f>"08808503"</f>
        <v>08808503</v>
      </c>
      <c r="B6164" t="s">
        <v>6472</v>
      </c>
      <c r="C6164" t="s">
        <v>7</v>
      </c>
      <c r="D6164" t="str">
        <f t="shared" si="223"/>
        <v>563960</v>
      </c>
      <c r="E6164" t="s">
        <v>6451</v>
      </c>
      <c r="F6164" t="s">
        <v>11</v>
      </c>
    </row>
    <row r="6165" spans="1:6" x14ac:dyDescent="0.25">
      <c r="A6165" t="str">
        <f>"26660016"</f>
        <v>26660016</v>
      </c>
      <c r="B6165" t="s">
        <v>6473</v>
      </c>
      <c r="C6165" t="s">
        <v>7</v>
      </c>
      <c r="D6165" t="str">
        <f t="shared" si="223"/>
        <v>563960</v>
      </c>
      <c r="E6165" t="s">
        <v>6451</v>
      </c>
      <c r="F6165" t="s">
        <v>11</v>
      </c>
    </row>
    <row r="6166" spans="1:6" x14ac:dyDescent="0.25">
      <c r="A6166" t="str">
        <f>"22886192"</f>
        <v>22886192</v>
      </c>
      <c r="B6166" t="s">
        <v>6474</v>
      </c>
      <c r="C6166" t="s">
        <v>7</v>
      </c>
      <c r="D6166" t="str">
        <f t="shared" si="223"/>
        <v>563960</v>
      </c>
      <c r="E6166" t="s">
        <v>6451</v>
      </c>
      <c r="F6166" t="s">
        <v>9</v>
      </c>
    </row>
    <row r="6167" spans="1:6" x14ac:dyDescent="0.25">
      <c r="A6167" t="str">
        <f>"09938893"</f>
        <v>09938893</v>
      </c>
      <c r="B6167" t="s">
        <v>6475</v>
      </c>
      <c r="C6167" t="s">
        <v>7</v>
      </c>
      <c r="D6167" t="str">
        <f t="shared" si="223"/>
        <v>563960</v>
      </c>
      <c r="E6167" t="s">
        <v>6451</v>
      </c>
      <c r="F6167" t="s">
        <v>29</v>
      </c>
    </row>
    <row r="6168" spans="1:6" x14ac:dyDescent="0.25">
      <c r="A6168" t="str">
        <f>"65100425"</f>
        <v>65100425</v>
      </c>
      <c r="B6168" t="s">
        <v>6476</v>
      </c>
      <c r="C6168" t="s">
        <v>7</v>
      </c>
      <c r="D6168" t="str">
        <f t="shared" si="223"/>
        <v>563960</v>
      </c>
      <c r="E6168" t="s">
        <v>6451</v>
      </c>
      <c r="F6168" t="s">
        <v>38</v>
      </c>
    </row>
    <row r="6169" spans="1:6" x14ac:dyDescent="0.25">
      <c r="A6169" t="str">
        <f>"64039587"</f>
        <v>64039587</v>
      </c>
      <c r="B6169" t="s">
        <v>6477</v>
      </c>
      <c r="C6169" t="s">
        <v>43</v>
      </c>
      <c r="D6169" t="str">
        <f t="shared" si="223"/>
        <v>563960</v>
      </c>
      <c r="E6169" t="s">
        <v>6451</v>
      </c>
      <c r="F6169" t="s">
        <v>44</v>
      </c>
    </row>
    <row r="6170" spans="1:6" x14ac:dyDescent="0.25">
      <c r="A6170" t="str">
        <f>"11993880"</f>
        <v>11993880</v>
      </c>
      <c r="B6170" t="s">
        <v>6478</v>
      </c>
      <c r="C6170" t="s">
        <v>124</v>
      </c>
      <c r="D6170" t="str">
        <f t="shared" si="223"/>
        <v>563960</v>
      </c>
      <c r="E6170" t="s">
        <v>6451</v>
      </c>
      <c r="F6170" t="s">
        <v>11</v>
      </c>
    </row>
    <row r="6171" spans="1:6" x14ac:dyDescent="0.25">
      <c r="A6171" t="str">
        <f>"46746412"</f>
        <v>46746412</v>
      </c>
      <c r="B6171" t="s">
        <v>6479</v>
      </c>
      <c r="C6171" t="s">
        <v>7</v>
      </c>
      <c r="D6171" t="str">
        <f t="shared" si="223"/>
        <v>563960</v>
      </c>
      <c r="E6171" t="s">
        <v>6451</v>
      </c>
      <c r="F6171" t="s">
        <v>9</v>
      </c>
    </row>
    <row r="6172" spans="1:6" x14ac:dyDescent="0.25">
      <c r="A6172" t="str">
        <f>"27014291"</f>
        <v>27014291</v>
      </c>
      <c r="B6172" t="s">
        <v>6480</v>
      </c>
      <c r="C6172" t="s">
        <v>7</v>
      </c>
      <c r="D6172" t="str">
        <f t="shared" si="223"/>
        <v>563960</v>
      </c>
      <c r="E6172" t="s">
        <v>6451</v>
      </c>
      <c r="F6172" t="s">
        <v>9</v>
      </c>
    </row>
    <row r="6173" spans="1:6" x14ac:dyDescent="0.25">
      <c r="A6173" t="str">
        <f>"46747184"</f>
        <v>46747184</v>
      </c>
      <c r="B6173" t="s">
        <v>6481</v>
      </c>
      <c r="C6173" t="s">
        <v>43</v>
      </c>
      <c r="D6173" t="str">
        <f t="shared" si="223"/>
        <v>563960</v>
      </c>
      <c r="E6173" t="s">
        <v>6451</v>
      </c>
      <c r="F6173" t="s">
        <v>44</v>
      </c>
    </row>
    <row r="6174" spans="1:6" x14ac:dyDescent="0.25">
      <c r="A6174" t="str">
        <f>"26986418"</f>
        <v>26986418</v>
      </c>
      <c r="B6174" t="s">
        <v>6482</v>
      </c>
      <c r="C6174" t="s">
        <v>7</v>
      </c>
      <c r="D6174" t="str">
        <f t="shared" si="223"/>
        <v>563960</v>
      </c>
      <c r="E6174" t="s">
        <v>6451</v>
      </c>
      <c r="F6174" t="s">
        <v>2392</v>
      </c>
    </row>
    <row r="6175" spans="1:6" x14ac:dyDescent="0.25">
      <c r="A6175" t="str">
        <f>"68299397"</f>
        <v>68299397</v>
      </c>
      <c r="B6175" t="s">
        <v>6483</v>
      </c>
      <c r="C6175" t="s">
        <v>15</v>
      </c>
      <c r="D6175" t="str">
        <f t="shared" ref="D6175:D6191" si="224">"563960"</f>
        <v>563960</v>
      </c>
      <c r="E6175" t="s">
        <v>6451</v>
      </c>
      <c r="F6175" t="s">
        <v>11</v>
      </c>
    </row>
    <row r="6176" spans="1:6" x14ac:dyDescent="0.25">
      <c r="A6176" t="str">
        <f>"49111973"</f>
        <v>49111973</v>
      </c>
      <c r="B6176" t="s">
        <v>6484</v>
      </c>
      <c r="C6176" t="s">
        <v>15</v>
      </c>
      <c r="D6176" t="str">
        <f t="shared" si="224"/>
        <v>563960</v>
      </c>
      <c r="E6176" t="s">
        <v>6451</v>
      </c>
      <c r="F6176" t="s">
        <v>16</v>
      </c>
    </row>
    <row r="6177" spans="1:6" x14ac:dyDescent="0.25">
      <c r="A6177" t="str">
        <f>"64039081"</f>
        <v>64039081</v>
      </c>
      <c r="B6177" t="s">
        <v>6485</v>
      </c>
      <c r="C6177" t="s">
        <v>15</v>
      </c>
      <c r="D6177" t="str">
        <f t="shared" si="224"/>
        <v>563960</v>
      </c>
      <c r="E6177" t="s">
        <v>6451</v>
      </c>
      <c r="F6177" t="s">
        <v>16</v>
      </c>
    </row>
    <row r="6178" spans="1:6" x14ac:dyDescent="0.25">
      <c r="A6178" t="str">
        <f>"49112007"</f>
        <v>49112007</v>
      </c>
      <c r="B6178" t="s">
        <v>6486</v>
      </c>
      <c r="C6178" t="s">
        <v>15</v>
      </c>
      <c r="D6178" t="str">
        <f t="shared" si="224"/>
        <v>563960</v>
      </c>
      <c r="E6178" t="s">
        <v>6451</v>
      </c>
      <c r="F6178" t="s">
        <v>16</v>
      </c>
    </row>
    <row r="6179" spans="1:6" x14ac:dyDescent="0.25">
      <c r="A6179" t="str">
        <f>"64039102"</f>
        <v>64039102</v>
      </c>
      <c r="B6179" t="s">
        <v>6487</v>
      </c>
      <c r="C6179" t="s">
        <v>15</v>
      </c>
      <c r="D6179" t="str">
        <f t="shared" si="224"/>
        <v>563960</v>
      </c>
      <c r="E6179" t="s">
        <v>6451</v>
      </c>
      <c r="F6179" t="s">
        <v>16</v>
      </c>
    </row>
    <row r="6180" spans="1:6" x14ac:dyDescent="0.25">
      <c r="A6180" t="str">
        <f>"49112121"</f>
        <v>49112121</v>
      </c>
      <c r="B6180" t="s">
        <v>6488</v>
      </c>
      <c r="C6180" t="s">
        <v>15</v>
      </c>
      <c r="D6180" t="str">
        <f t="shared" si="224"/>
        <v>563960</v>
      </c>
      <c r="E6180" t="s">
        <v>6451</v>
      </c>
      <c r="F6180" t="s">
        <v>16</v>
      </c>
    </row>
    <row r="6181" spans="1:6" x14ac:dyDescent="0.25">
      <c r="A6181" t="str">
        <f>"09003231"</f>
        <v>09003231</v>
      </c>
      <c r="B6181" t="s">
        <v>6489</v>
      </c>
      <c r="C6181" t="s">
        <v>7</v>
      </c>
      <c r="D6181" t="str">
        <f t="shared" si="224"/>
        <v>563960</v>
      </c>
      <c r="E6181" t="s">
        <v>6451</v>
      </c>
      <c r="F6181" t="s">
        <v>11</v>
      </c>
    </row>
    <row r="6182" spans="1:6" x14ac:dyDescent="0.25">
      <c r="A6182" t="str">
        <f>"22756736"</f>
        <v>22756736</v>
      </c>
      <c r="B6182" t="s">
        <v>6490</v>
      </c>
      <c r="C6182" t="s">
        <v>7</v>
      </c>
      <c r="D6182" t="str">
        <f t="shared" si="224"/>
        <v>563960</v>
      </c>
      <c r="E6182" t="s">
        <v>6451</v>
      </c>
      <c r="F6182" t="s">
        <v>18</v>
      </c>
    </row>
    <row r="6183" spans="1:6" x14ac:dyDescent="0.25">
      <c r="A6183" t="str">
        <f>"08419655"</f>
        <v>08419655</v>
      </c>
      <c r="B6183" t="s">
        <v>6491</v>
      </c>
      <c r="C6183" t="s">
        <v>7</v>
      </c>
      <c r="D6183" t="str">
        <f t="shared" si="224"/>
        <v>563960</v>
      </c>
      <c r="E6183" t="s">
        <v>6451</v>
      </c>
      <c r="F6183" t="s">
        <v>13</v>
      </c>
    </row>
    <row r="6184" spans="1:6" x14ac:dyDescent="0.25">
      <c r="A6184" t="str">
        <f>"02507242"</f>
        <v>02507242</v>
      </c>
      <c r="B6184" t="s">
        <v>6492</v>
      </c>
      <c r="C6184" t="s">
        <v>7</v>
      </c>
      <c r="D6184" t="str">
        <f t="shared" si="224"/>
        <v>563960</v>
      </c>
      <c r="E6184" t="s">
        <v>6451</v>
      </c>
      <c r="F6184" t="s">
        <v>29</v>
      </c>
    </row>
    <row r="6185" spans="1:6" x14ac:dyDescent="0.25">
      <c r="A6185" t="str">
        <f>"26574063"</f>
        <v>26574063</v>
      </c>
      <c r="B6185" t="s">
        <v>6493</v>
      </c>
      <c r="C6185" t="s">
        <v>7</v>
      </c>
      <c r="D6185" t="str">
        <f t="shared" si="224"/>
        <v>563960</v>
      </c>
      <c r="E6185" t="s">
        <v>6451</v>
      </c>
      <c r="F6185" t="s">
        <v>62</v>
      </c>
    </row>
    <row r="6186" spans="1:6" x14ac:dyDescent="0.25">
      <c r="A6186" t="str">
        <f>"65081366"</f>
        <v>65081366</v>
      </c>
      <c r="B6186" t="s">
        <v>6494</v>
      </c>
      <c r="C6186" t="s">
        <v>15</v>
      </c>
      <c r="D6186" t="str">
        <f t="shared" si="224"/>
        <v>563960</v>
      </c>
      <c r="E6186" t="s">
        <v>6451</v>
      </c>
      <c r="F6186" t="s">
        <v>137</v>
      </c>
    </row>
    <row r="6187" spans="1:6" x14ac:dyDescent="0.25">
      <c r="A6187" t="str">
        <f>"44224001"</f>
        <v>44224001</v>
      </c>
      <c r="B6187" t="s">
        <v>6495</v>
      </c>
      <c r="C6187" t="s">
        <v>15</v>
      </c>
      <c r="D6187" t="str">
        <f t="shared" si="224"/>
        <v>563960</v>
      </c>
      <c r="E6187" t="s">
        <v>6451</v>
      </c>
      <c r="F6187" t="s">
        <v>9</v>
      </c>
    </row>
    <row r="6188" spans="1:6" x14ac:dyDescent="0.25">
      <c r="A6188" t="str">
        <f>"09607463"</f>
        <v>09607463</v>
      </c>
      <c r="B6188" t="s">
        <v>6496</v>
      </c>
      <c r="C6188" t="s">
        <v>27</v>
      </c>
      <c r="D6188" t="str">
        <f t="shared" si="224"/>
        <v>563960</v>
      </c>
      <c r="E6188" t="s">
        <v>6451</v>
      </c>
      <c r="F6188" t="s">
        <v>13</v>
      </c>
    </row>
    <row r="6189" spans="1:6" x14ac:dyDescent="0.25">
      <c r="A6189" t="str">
        <f>"70892610"</f>
        <v>70892610</v>
      </c>
      <c r="B6189" t="s">
        <v>6497</v>
      </c>
      <c r="C6189" t="s">
        <v>15</v>
      </c>
      <c r="D6189" t="str">
        <f t="shared" si="224"/>
        <v>563960</v>
      </c>
      <c r="E6189" t="s">
        <v>6451</v>
      </c>
      <c r="F6189" t="s">
        <v>29</v>
      </c>
    </row>
    <row r="6190" spans="1:6" x14ac:dyDescent="0.25">
      <c r="A6190" t="str">
        <f>"71188746"</f>
        <v>71188746</v>
      </c>
      <c r="B6190" t="s">
        <v>6498</v>
      </c>
      <c r="C6190" t="s">
        <v>20</v>
      </c>
      <c r="D6190" t="str">
        <f t="shared" si="224"/>
        <v>563960</v>
      </c>
      <c r="E6190" t="s">
        <v>6451</v>
      </c>
      <c r="F6190" t="s">
        <v>21</v>
      </c>
    </row>
    <row r="6191" spans="1:6" x14ac:dyDescent="0.25">
      <c r="A6191" t="str">
        <f>"46748580"</f>
        <v>46748580</v>
      </c>
      <c r="B6191" t="s">
        <v>6499</v>
      </c>
      <c r="C6191" t="s">
        <v>15</v>
      </c>
      <c r="D6191" t="str">
        <f t="shared" si="224"/>
        <v>563960</v>
      </c>
      <c r="E6191" t="s">
        <v>6451</v>
      </c>
      <c r="F6191" t="s">
        <v>11</v>
      </c>
    </row>
    <row r="6192" spans="1:6" x14ac:dyDescent="0.25">
      <c r="A6192" t="str">
        <f>"49294580"</f>
        <v>49294580</v>
      </c>
      <c r="B6192" t="s">
        <v>6500</v>
      </c>
      <c r="C6192" t="s">
        <v>7</v>
      </c>
      <c r="D6192" t="str">
        <f>"577057"</f>
        <v>577057</v>
      </c>
      <c r="E6192" t="s">
        <v>6501</v>
      </c>
      <c r="F6192" t="s">
        <v>38</v>
      </c>
    </row>
    <row r="6193" spans="1:6" x14ac:dyDescent="0.25">
      <c r="A6193" t="str">
        <f>"27051820"</f>
        <v>27051820</v>
      </c>
      <c r="B6193" t="s">
        <v>6502</v>
      </c>
      <c r="C6193" t="s">
        <v>7</v>
      </c>
      <c r="D6193" t="str">
        <f>"577057"</f>
        <v>577057</v>
      </c>
      <c r="E6193" t="s">
        <v>6501</v>
      </c>
      <c r="F6193" t="s">
        <v>424</v>
      </c>
    </row>
    <row r="6194" spans="1:6" x14ac:dyDescent="0.25">
      <c r="A6194" t="str">
        <f>"02456940"</f>
        <v>02456940</v>
      </c>
      <c r="B6194" t="s">
        <v>6503</v>
      </c>
      <c r="C6194" t="s">
        <v>7</v>
      </c>
      <c r="D6194" t="str">
        <f>"577057"</f>
        <v>577057</v>
      </c>
      <c r="E6194" t="s">
        <v>6501</v>
      </c>
      <c r="F6194" t="s">
        <v>13</v>
      </c>
    </row>
    <row r="6195" spans="1:6" x14ac:dyDescent="0.25">
      <c r="A6195" t="str">
        <f>"62013378"</f>
        <v>62013378</v>
      </c>
      <c r="B6195" t="s">
        <v>6504</v>
      </c>
      <c r="C6195" t="s">
        <v>15</v>
      </c>
      <c r="D6195" t="str">
        <f>"577057"</f>
        <v>577057</v>
      </c>
      <c r="E6195" t="s">
        <v>6501</v>
      </c>
      <c r="F6195" t="s">
        <v>16</v>
      </c>
    </row>
    <row r="6196" spans="1:6" x14ac:dyDescent="0.25">
      <c r="A6196" t="str">
        <f>"45599203"</f>
        <v>45599203</v>
      </c>
      <c r="B6196" t="s">
        <v>6505</v>
      </c>
      <c r="C6196" t="s">
        <v>7</v>
      </c>
      <c r="D6196" t="str">
        <f>"577057"</f>
        <v>577057</v>
      </c>
      <c r="E6196" t="s">
        <v>6501</v>
      </c>
      <c r="F6196" t="s">
        <v>65</v>
      </c>
    </row>
    <row r="6197" spans="1:6" x14ac:dyDescent="0.25">
      <c r="A6197" t="str">
        <f>"46745386"</f>
        <v>46745386</v>
      </c>
      <c r="B6197" t="s">
        <v>6506</v>
      </c>
      <c r="C6197" t="s">
        <v>37</v>
      </c>
      <c r="D6197" t="str">
        <f>"544531"</f>
        <v>544531</v>
      </c>
      <c r="E6197" t="s">
        <v>6507</v>
      </c>
      <c r="F6197" t="s">
        <v>38</v>
      </c>
    </row>
    <row r="6198" spans="1:6" x14ac:dyDescent="0.25">
      <c r="A6198" t="str">
        <f>"46747311"</f>
        <v>46747311</v>
      </c>
      <c r="B6198" t="s">
        <v>6508</v>
      </c>
      <c r="C6198" t="s">
        <v>7</v>
      </c>
      <c r="D6198" t="str">
        <f>"544531"</f>
        <v>544531</v>
      </c>
      <c r="E6198" t="s">
        <v>6507</v>
      </c>
      <c r="F6198" t="s">
        <v>38</v>
      </c>
    </row>
    <row r="6199" spans="1:6" x14ac:dyDescent="0.25">
      <c r="A6199" t="str">
        <f>"49112112"</f>
        <v>49112112</v>
      </c>
      <c r="B6199" t="s">
        <v>6509</v>
      </c>
      <c r="C6199" t="s">
        <v>15</v>
      </c>
      <c r="D6199" t="str">
        <f>"544531"</f>
        <v>544531</v>
      </c>
      <c r="E6199" t="s">
        <v>6507</v>
      </c>
      <c r="F6199" t="s">
        <v>16</v>
      </c>
    </row>
    <row r="6200" spans="1:6" x14ac:dyDescent="0.25">
      <c r="A6200" t="str">
        <f>"26676753"</f>
        <v>26676753</v>
      </c>
      <c r="B6200" t="s">
        <v>6510</v>
      </c>
      <c r="C6200" t="s">
        <v>7</v>
      </c>
      <c r="D6200" t="str">
        <f>"544531"</f>
        <v>544531</v>
      </c>
      <c r="E6200" t="s">
        <v>6507</v>
      </c>
      <c r="F6200" t="s">
        <v>9</v>
      </c>
    </row>
    <row r="6201" spans="1:6" x14ac:dyDescent="0.25">
      <c r="A6201" t="str">
        <f>"07646470"</f>
        <v>07646470</v>
      </c>
      <c r="B6201" t="s">
        <v>6511</v>
      </c>
      <c r="C6201" t="s">
        <v>7</v>
      </c>
      <c r="D6201" t="str">
        <f>"544531"</f>
        <v>544531</v>
      </c>
      <c r="E6201" t="s">
        <v>6507</v>
      </c>
      <c r="F6201" t="s">
        <v>11</v>
      </c>
    </row>
    <row r="6202" spans="1:6" x14ac:dyDescent="0.25">
      <c r="A6202" t="str">
        <f>"27045986"</f>
        <v>27045986</v>
      </c>
      <c r="B6202" t="s">
        <v>6512</v>
      </c>
      <c r="C6202" t="s">
        <v>7</v>
      </c>
      <c r="D6202" t="str">
        <f t="shared" ref="D6202:D6233" si="225">"564460"</f>
        <v>564460</v>
      </c>
      <c r="E6202" t="s">
        <v>6513</v>
      </c>
      <c r="F6202" t="s">
        <v>11</v>
      </c>
    </row>
    <row r="6203" spans="1:6" x14ac:dyDescent="0.25">
      <c r="A6203" t="str">
        <f>"05522579"</f>
        <v>05522579</v>
      </c>
      <c r="B6203" t="s">
        <v>6514</v>
      </c>
      <c r="C6203" t="s">
        <v>7</v>
      </c>
      <c r="D6203" t="str">
        <f t="shared" si="225"/>
        <v>564460</v>
      </c>
      <c r="E6203" t="s">
        <v>6513</v>
      </c>
      <c r="F6203" t="s">
        <v>11</v>
      </c>
    </row>
    <row r="6204" spans="1:6" x14ac:dyDescent="0.25">
      <c r="A6204" t="str">
        <f>"06126243"</f>
        <v>06126243</v>
      </c>
      <c r="B6204" t="s">
        <v>6515</v>
      </c>
      <c r="C6204" t="s">
        <v>7</v>
      </c>
      <c r="D6204" t="str">
        <f t="shared" si="225"/>
        <v>564460</v>
      </c>
      <c r="E6204" t="s">
        <v>6513</v>
      </c>
      <c r="F6204" t="s">
        <v>11</v>
      </c>
    </row>
    <row r="6205" spans="1:6" x14ac:dyDescent="0.25">
      <c r="A6205" t="str">
        <f>"21497036"</f>
        <v>21497036</v>
      </c>
      <c r="B6205" t="s">
        <v>6516</v>
      </c>
      <c r="C6205" t="s">
        <v>7</v>
      </c>
      <c r="D6205" t="str">
        <f t="shared" si="225"/>
        <v>564460</v>
      </c>
      <c r="E6205" t="s">
        <v>6513</v>
      </c>
      <c r="F6205" t="s">
        <v>11</v>
      </c>
    </row>
    <row r="6206" spans="1:6" x14ac:dyDescent="0.25">
      <c r="A6206" t="str">
        <f>"04690630"</f>
        <v>04690630</v>
      </c>
      <c r="B6206" t="s">
        <v>6517</v>
      </c>
      <c r="C6206" t="s">
        <v>7</v>
      </c>
      <c r="D6206" t="str">
        <f t="shared" si="225"/>
        <v>564460</v>
      </c>
      <c r="E6206" t="s">
        <v>6513</v>
      </c>
      <c r="F6206" t="s">
        <v>29</v>
      </c>
    </row>
    <row r="6207" spans="1:6" x14ac:dyDescent="0.25">
      <c r="A6207" t="str">
        <f>"05198640"</f>
        <v>05198640</v>
      </c>
      <c r="B6207" t="s">
        <v>6518</v>
      </c>
      <c r="C6207" t="s">
        <v>7</v>
      </c>
      <c r="D6207" t="str">
        <f t="shared" si="225"/>
        <v>564460</v>
      </c>
      <c r="E6207" t="s">
        <v>6513</v>
      </c>
      <c r="F6207" t="s">
        <v>11</v>
      </c>
    </row>
    <row r="6208" spans="1:6" x14ac:dyDescent="0.25">
      <c r="A6208" t="str">
        <f>"10743804"</f>
        <v>10743804</v>
      </c>
      <c r="B6208" t="s">
        <v>6519</v>
      </c>
      <c r="C6208" t="s">
        <v>7</v>
      </c>
      <c r="D6208" t="str">
        <f t="shared" si="225"/>
        <v>564460</v>
      </c>
      <c r="E6208" t="s">
        <v>6513</v>
      </c>
      <c r="F6208" t="s">
        <v>11</v>
      </c>
    </row>
    <row r="6209" spans="1:6" x14ac:dyDescent="0.25">
      <c r="A6209" t="str">
        <f>"22746374"</f>
        <v>22746374</v>
      </c>
      <c r="B6209" t="s">
        <v>6520</v>
      </c>
      <c r="C6209" t="s">
        <v>7</v>
      </c>
      <c r="D6209" t="str">
        <f t="shared" si="225"/>
        <v>564460</v>
      </c>
      <c r="E6209" t="s">
        <v>6513</v>
      </c>
      <c r="F6209" t="s">
        <v>389</v>
      </c>
    </row>
    <row r="6210" spans="1:6" x14ac:dyDescent="0.25">
      <c r="A6210" t="str">
        <f>"14314142"</f>
        <v>14314142</v>
      </c>
      <c r="B6210" t="s">
        <v>6521</v>
      </c>
      <c r="C6210" t="s">
        <v>7</v>
      </c>
      <c r="D6210" t="str">
        <f t="shared" si="225"/>
        <v>564460</v>
      </c>
      <c r="E6210" t="s">
        <v>6513</v>
      </c>
      <c r="F6210" t="s">
        <v>389</v>
      </c>
    </row>
    <row r="6211" spans="1:6" x14ac:dyDescent="0.25">
      <c r="A6211" t="str">
        <f>"01720007"</f>
        <v>01720007</v>
      </c>
      <c r="B6211" t="s">
        <v>6522</v>
      </c>
      <c r="C6211" t="s">
        <v>7</v>
      </c>
      <c r="D6211" t="str">
        <f t="shared" si="225"/>
        <v>564460</v>
      </c>
      <c r="E6211" t="s">
        <v>6513</v>
      </c>
      <c r="F6211" t="s">
        <v>11</v>
      </c>
    </row>
    <row r="6212" spans="1:6" x14ac:dyDescent="0.25">
      <c r="A6212" t="str">
        <f>"05375363"</f>
        <v>05375363</v>
      </c>
      <c r="B6212" t="s">
        <v>6523</v>
      </c>
      <c r="C6212" t="s">
        <v>7</v>
      </c>
      <c r="D6212" t="str">
        <f t="shared" si="225"/>
        <v>564460</v>
      </c>
      <c r="E6212" t="s">
        <v>6513</v>
      </c>
      <c r="F6212" t="s">
        <v>389</v>
      </c>
    </row>
    <row r="6213" spans="1:6" x14ac:dyDescent="0.25">
      <c r="A6213" t="str">
        <f>"22863842"</f>
        <v>22863842</v>
      </c>
      <c r="B6213" t="s">
        <v>6524</v>
      </c>
      <c r="C6213" t="s">
        <v>7</v>
      </c>
      <c r="D6213" t="str">
        <f t="shared" si="225"/>
        <v>564460</v>
      </c>
      <c r="E6213" t="s">
        <v>6513</v>
      </c>
      <c r="F6213" t="s">
        <v>11</v>
      </c>
    </row>
    <row r="6214" spans="1:6" x14ac:dyDescent="0.25">
      <c r="A6214" t="str">
        <f>"19636202"</f>
        <v>19636202</v>
      </c>
      <c r="B6214" t="s">
        <v>6525</v>
      </c>
      <c r="C6214" t="s">
        <v>7</v>
      </c>
      <c r="D6214" t="str">
        <f t="shared" si="225"/>
        <v>564460</v>
      </c>
      <c r="E6214" t="s">
        <v>6513</v>
      </c>
      <c r="F6214" t="s">
        <v>11</v>
      </c>
    </row>
    <row r="6215" spans="1:6" x14ac:dyDescent="0.25">
      <c r="A6215" t="str">
        <f>"04554914"</f>
        <v>04554914</v>
      </c>
      <c r="B6215" t="s">
        <v>6526</v>
      </c>
      <c r="C6215" t="s">
        <v>7</v>
      </c>
      <c r="D6215" t="str">
        <f t="shared" si="225"/>
        <v>564460</v>
      </c>
      <c r="E6215" t="s">
        <v>6513</v>
      </c>
      <c r="F6215" t="s">
        <v>11</v>
      </c>
    </row>
    <row r="6216" spans="1:6" x14ac:dyDescent="0.25">
      <c r="A6216" t="str">
        <f>"22747362"</f>
        <v>22747362</v>
      </c>
      <c r="B6216" t="s">
        <v>6527</v>
      </c>
      <c r="C6216" t="s">
        <v>7</v>
      </c>
      <c r="D6216" t="str">
        <f t="shared" si="225"/>
        <v>564460</v>
      </c>
      <c r="E6216" t="s">
        <v>6513</v>
      </c>
      <c r="F6216" t="s">
        <v>11</v>
      </c>
    </row>
    <row r="6217" spans="1:6" x14ac:dyDescent="0.25">
      <c r="A6217" t="str">
        <f>"21794898"</f>
        <v>21794898</v>
      </c>
      <c r="B6217" t="s">
        <v>6528</v>
      </c>
      <c r="C6217" t="s">
        <v>7</v>
      </c>
      <c r="D6217" t="str">
        <f t="shared" si="225"/>
        <v>564460</v>
      </c>
      <c r="E6217" t="s">
        <v>6513</v>
      </c>
      <c r="F6217" t="s">
        <v>29</v>
      </c>
    </row>
    <row r="6218" spans="1:6" x14ac:dyDescent="0.25">
      <c r="A6218" t="str">
        <f>"21499811"</f>
        <v>21499811</v>
      </c>
      <c r="B6218" t="s">
        <v>6529</v>
      </c>
      <c r="C6218" t="s">
        <v>7</v>
      </c>
      <c r="D6218" t="str">
        <f t="shared" si="225"/>
        <v>564460</v>
      </c>
      <c r="E6218" t="s">
        <v>6513</v>
      </c>
      <c r="F6218" t="s">
        <v>11</v>
      </c>
    </row>
    <row r="6219" spans="1:6" x14ac:dyDescent="0.25">
      <c r="A6219" t="str">
        <f>"22867848"</f>
        <v>22867848</v>
      </c>
      <c r="B6219" t="s">
        <v>6530</v>
      </c>
      <c r="C6219" t="s">
        <v>7</v>
      </c>
      <c r="D6219" t="str">
        <f t="shared" si="225"/>
        <v>564460</v>
      </c>
      <c r="E6219" t="s">
        <v>6513</v>
      </c>
      <c r="F6219" t="s">
        <v>11</v>
      </c>
    </row>
    <row r="6220" spans="1:6" x14ac:dyDescent="0.25">
      <c r="A6220" t="str">
        <f>"22883941"</f>
        <v>22883941</v>
      </c>
      <c r="B6220" t="s">
        <v>6531</v>
      </c>
      <c r="C6220" t="s">
        <v>7</v>
      </c>
      <c r="D6220" t="str">
        <f t="shared" si="225"/>
        <v>564460</v>
      </c>
      <c r="E6220" t="s">
        <v>6513</v>
      </c>
      <c r="F6220" t="s">
        <v>11</v>
      </c>
    </row>
    <row r="6221" spans="1:6" x14ac:dyDescent="0.25">
      <c r="A6221" t="str">
        <f>"05517851"</f>
        <v>05517851</v>
      </c>
      <c r="B6221" t="s">
        <v>6532</v>
      </c>
      <c r="C6221" t="s">
        <v>7</v>
      </c>
      <c r="D6221" t="str">
        <f t="shared" si="225"/>
        <v>564460</v>
      </c>
      <c r="E6221" t="s">
        <v>6513</v>
      </c>
      <c r="F6221" t="s">
        <v>389</v>
      </c>
    </row>
    <row r="6222" spans="1:6" x14ac:dyDescent="0.25">
      <c r="A6222" t="str">
        <f>"06126120"</f>
        <v>06126120</v>
      </c>
      <c r="B6222" t="s">
        <v>6533</v>
      </c>
      <c r="C6222" t="s">
        <v>7</v>
      </c>
      <c r="D6222" t="str">
        <f t="shared" si="225"/>
        <v>564460</v>
      </c>
      <c r="E6222" t="s">
        <v>6513</v>
      </c>
      <c r="F6222" t="s">
        <v>11</v>
      </c>
    </row>
    <row r="6223" spans="1:6" x14ac:dyDescent="0.25">
      <c r="A6223" t="str">
        <f>"05341949"</f>
        <v>05341949</v>
      </c>
      <c r="B6223" t="s">
        <v>6534</v>
      </c>
      <c r="C6223" t="s">
        <v>7</v>
      </c>
      <c r="D6223" t="str">
        <f t="shared" si="225"/>
        <v>564460</v>
      </c>
      <c r="E6223" t="s">
        <v>6513</v>
      </c>
      <c r="F6223" t="s">
        <v>11</v>
      </c>
    </row>
    <row r="6224" spans="1:6" x14ac:dyDescent="0.25">
      <c r="A6224" t="str">
        <f>"22730320"</f>
        <v>22730320</v>
      </c>
      <c r="B6224" t="s">
        <v>6535</v>
      </c>
      <c r="C6224" t="s">
        <v>7</v>
      </c>
      <c r="D6224" t="str">
        <f t="shared" si="225"/>
        <v>564460</v>
      </c>
      <c r="E6224" t="s">
        <v>6513</v>
      </c>
      <c r="F6224" t="s">
        <v>389</v>
      </c>
    </row>
    <row r="6225" spans="1:6" x14ac:dyDescent="0.25">
      <c r="A6225" t="str">
        <f>"04566181"</f>
        <v>04566181</v>
      </c>
      <c r="B6225" t="s">
        <v>6536</v>
      </c>
      <c r="C6225" t="s">
        <v>7</v>
      </c>
      <c r="D6225" t="str">
        <f t="shared" si="225"/>
        <v>564460</v>
      </c>
      <c r="E6225" t="s">
        <v>6513</v>
      </c>
      <c r="F6225" t="s">
        <v>13</v>
      </c>
    </row>
    <row r="6226" spans="1:6" x14ac:dyDescent="0.25">
      <c r="A6226" t="str">
        <f>"07130392"</f>
        <v>07130392</v>
      </c>
      <c r="B6226" t="s">
        <v>6537</v>
      </c>
      <c r="C6226" t="s">
        <v>7</v>
      </c>
      <c r="D6226" t="str">
        <f t="shared" si="225"/>
        <v>564460</v>
      </c>
      <c r="E6226" t="s">
        <v>6513</v>
      </c>
      <c r="F6226" t="s">
        <v>18</v>
      </c>
    </row>
    <row r="6227" spans="1:6" x14ac:dyDescent="0.25">
      <c r="A6227" t="str">
        <f>"03633811"</f>
        <v>03633811</v>
      </c>
      <c r="B6227" t="s">
        <v>6538</v>
      </c>
      <c r="C6227" t="s">
        <v>7</v>
      </c>
      <c r="D6227" t="str">
        <f t="shared" si="225"/>
        <v>564460</v>
      </c>
      <c r="E6227" t="s">
        <v>6513</v>
      </c>
      <c r="F6227" t="s">
        <v>11</v>
      </c>
    </row>
    <row r="6228" spans="1:6" x14ac:dyDescent="0.25">
      <c r="A6228" t="str">
        <f>"27033279"</f>
        <v>27033279</v>
      </c>
      <c r="B6228" t="s">
        <v>6539</v>
      </c>
      <c r="C6228" t="s">
        <v>7</v>
      </c>
      <c r="D6228" t="str">
        <f t="shared" si="225"/>
        <v>564460</v>
      </c>
      <c r="E6228" t="s">
        <v>6513</v>
      </c>
      <c r="F6228" t="s">
        <v>29</v>
      </c>
    </row>
    <row r="6229" spans="1:6" x14ac:dyDescent="0.25">
      <c r="A6229" t="str">
        <f>"22907025"</f>
        <v>22907025</v>
      </c>
      <c r="B6229" t="s">
        <v>6540</v>
      </c>
      <c r="C6229" t="s">
        <v>7</v>
      </c>
      <c r="D6229" t="str">
        <f t="shared" si="225"/>
        <v>564460</v>
      </c>
      <c r="E6229" t="s">
        <v>6513</v>
      </c>
      <c r="F6229" t="s">
        <v>389</v>
      </c>
    </row>
    <row r="6230" spans="1:6" x14ac:dyDescent="0.25">
      <c r="A6230" t="str">
        <f>"27029905"</f>
        <v>27029905</v>
      </c>
      <c r="B6230" t="s">
        <v>6541</v>
      </c>
      <c r="C6230" t="s">
        <v>7</v>
      </c>
      <c r="D6230" t="str">
        <f t="shared" si="225"/>
        <v>564460</v>
      </c>
      <c r="E6230" t="s">
        <v>6513</v>
      </c>
      <c r="F6230" t="s">
        <v>11</v>
      </c>
    </row>
    <row r="6231" spans="1:6" x14ac:dyDescent="0.25">
      <c r="A6231" t="str">
        <f>"22012206"</f>
        <v>22012206</v>
      </c>
      <c r="B6231" t="s">
        <v>6542</v>
      </c>
      <c r="C6231" t="s">
        <v>7</v>
      </c>
      <c r="D6231" t="str">
        <f t="shared" si="225"/>
        <v>564460</v>
      </c>
      <c r="E6231" t="s">
        <v>6513</v>
      </c>
      <c r="F6231" t="s">
        <v>11</v>
      </c>
    </row>
    <row r="6232" spans="1:6" x14ac:dyDescent="0.25">
      <c r="A6232" t="str">
        <f>"22899251"</f>
        <v>22899251</v>
      </c>
      <c r="B6232" t="s">
        <v>6543</v>
      </c>
      <c r="C6232" t="s">
        <v>7</v>
      </c>
      <c r="D6232" t="str">
        <f t="shared" si="225"/>
        <v>564460</v>
      </c>
      <c r="E6232" t="s">
        <v>6513</v>
      </c>
      <c r="F6232" t="s">
        <v>13</v>
      </c>
    </row>
    <row r="6233" spans="1:6" x14ac:dyDescent="0.25">
      <c r="A6233" t="str">
        <f>"25441744"</f>
        <v>25441744</v>
      </c>
      <c r="B6233" t="s">
        <v>6544</v>
      </c>
      <c r="C6233" t="s">
        <v>78</v>
      </c>
      <c r="D6233" t="str">
        <f t="shared" si="225"/>
        <v>564460</v>
      </c>
      <c r="E6233" t="s">
        <v>6513</v>
      </c>
      <c r="F6233" t="s">
        <v>137</v>
      </c>
    </row>
    <row r="6234" spans="1:6" x14ac:dyDescent="0.25">
      <c r="A6234" t="str">
        <f>"26559455"</f>
        <v>26559455</v>
      </c>
      <c r="B6234" t="s">
        <v>6545</v>
      </c>
      <c r="C6234" t="s">
        <v>7</v>
      </c>
      <c r="D6234" t="str">
        <f t="shared" ref="D6234:D6265" si="226">"564460"</f>
        <v>564460</v>
      </c>
      <c r="E6234" t="s">
        <v>6513</v>
      </c>
      <c r="F6234" t="s">
        <v>11</v>
      </c>
    </row>
    <row r="6235" spans="1:6" x14ac:dyDescent="0.25">
      <c r="A6235" t="str">
        <f>"21125708"</f>
        <v>21125708</v>
      </c>
      <c r="B6235" t="s">
        <v>6546</v>
      </c>
      <c r="C6235" t="s">
        <v>7</v>
      </c>
      <c r="D6235" t="str">
        <f t="shared" si="226"/>
        <v>564460</v>
      </c>
      <c r="E6235" t="s">
        <v>6513</v>
      </c>
      <c r="F6235" t="s">
        <v>389</v>
      </c>
    </row>
    <row r="6236" spans="1:6" x14ac:dyDescent="0.25">
      <c r="A6236" t="str">
        <f>"22713191"</f>
        <v>22713191</v>
      </c>
      <c r="B6236" t="s">
        <v>6547</v>
      </c>
      <c r="C6236" t="s">
        <v>7</v>
      </c>
      <c r="D6236" t="str">
        <f t="shared" si="226"/>
        <v>564460</v>
      </c>
      <c r="E6236" t="s">
        <v>6513</v>
      </c>
      <c r="F6236" t="s">
        <v>11</v>
      </c>
    </row>
    <row r="6237" spans="1:6" x14ac:dyDescent="0.25">
      <c r="A6237" t="str">
        <f>"01776223"</f>
        <v>01776223</v>
      </c>
      <c r="B6237" t="s">
        <v>6548</v>
      </c>
      <c r="C6237" t="s">
        <v>7</v>
      </c>
      <c r="D6237" t="str">
        <f t="shared" si="226"/>
        <v>564460</v>
      </c>
      <c r="E6237" t="s">
        <v>6513</v>
      </c>
      <c r="F6237" t="s">
        <v>11</v>
      </c>
    </row>
    <row r="6238" spans="1:6" x14ac:dyDescent="0.25">
      <c r="A6238" t="str">
        <f>"26578565"</f>
        <v>26578565</v>
      </c>
      <c r="B6238" t="s">
        <v>6549</v>
      </c>
      <c r="C6238" t="s">
        <v>7</v>
      </c>
      <c r="D6238" t="str">
        <f t="shared" si="226"/>
        <v>564460</v>
      </c>
      <c r="E6238" t="s">
        <v>6513</v>
      </c>
      <c r="F6238" t="s">
        <v>11</v>
      </c>
    </row>
    <row r="6239" spans="1:6" x14ac:dyDescent="0.25">
      <c r="A6239" t="str">
        <f>"22682872"</f>
        <v>22682872</v>
      </c>
      <c r="B6239" t="s">
        <v>6550</v>
      </c>
      <c r="C6239" t="s">
        <v>7</v>
      </c>
      <c r="D6239" t="str">
        <f t="shared" si="226"/>
        <v>564460</v>
      </c>
      <c r="E6239" t="s">
        <v>6513</v>
      </c>
      <c r="F6239" t="s">
        <v>11</v>
      </c>
    </row>
    <row r="6240" spans="1:6" x14ac:dyDescent="0.25">
      <c r="A6240" t="str">
        <f>"22737626"</f>
        <v>22737626</v>
      </c>
      <c r="B6240" t="s">
        <v>6551</v>
      </c>
      <c r="C6240" t="s">
        <v>7</v>
      </c>
      <c r="D6240" t="str">
        <f t="shared" si="226"/>
        <v>564460</v>
      </c>
      <c r="E6240" t="s">
        <v>6513</v>
      </c>
      <c r="F6240" t="s">
        <v>11</v>
      </c>
    </row>
    <row r="6241" spans="1:6" x14ac:dyDescent="0.25">
      <c r="A6241" t="str">
        <f>"26572257"</f>
        <v>26572257</v>
      </c>
      <c r="B6241" t="s">
        <v>6552</v>
      </c>
      <c r="C6241" t="s">
        <v>7</v>
      </c>
      <c r="D6241" t="str">
        <f t="shared" si="226"/>
        <v>564460</v>
      </c>
      <c r="E6241" t="s">
        <v>6513</v>
      </c>
      <c r="F6241" t="s">
        <v>137</v>
      </c>
    </row>
    <row r="6242" spans="1:6" x14ac:dyDescent="0.25">
      <c r="A6242" t="str">
        <f>"26571137"</f>
        <v>26571137</v>
      </c>
      <c r="B6242" t="s">
        <v>6553</v>
      </c>
      <c r="C6242" t="s">
        <v>7</v>
      </c>
      <c r="D6242" t="str">
        <f t="shared" si="226"/>
        <v>564460</v>
      </c>
      <c r="E6242" t="s">
        <v>6513</v>
      </c>
      <c r="F6242" t="s">
        <v>11</v>
      </c>
    </row>
    <row r="6243" spans="1:6" x14ac:dyDescent="0.25">
      <c r="A6243" t="str">
        <f>"05240875"</f>
        <v>05240875</v>
      </c>
      <c r="B6243" t="s">
        <v>6554</v>
      </c>
      <c r="C6243" t="s">
        <v>7</v>
      </c>
      <c r="D6243" t="str">
        <f t="shared" si="226"/>
        <v>564460</v>
      </c>
      <c r="E6243" t="s">
        <v>6513</v>
      </c>
      <c r="F6243" t="s">
        <v>11</v>
      </c>
    </row>
    <row r="6244" spans="1:6" x14ac:dyDescent="0.25">
      <c r="A6244" t="str">
        <f>"14416565"</f>
        <v>14416565</v>
      </c>
      <c r="B6244" t="s">
        <v>6555</v>
      </c>
      <c r="C6244" t="s">
        <v>7</v>
      </c>
      <c r="D6244" t="str">
        <f t="shared" si="226"/>
        <v>564460</v>
      </c>
      <c r="E6244" t="s">
        <v>6513</v>
      </c>
      <c r="F6244" t="s">
        <v>62</v>
      </c>
    </row>
    <row r="6245" spans="1:6" x14ac:dyDescent="0.25">
      <c r="A6245" t="str">
        <f>"21893012"</f>
        <v>21893012</v>
      </c>
      <c r="B6245" t="s">
        <v>6556</v>
      </c>
      <c r="C6245" t="s">
        <v>7</v>
      </c>
      <c r="D6245" t="str">
        <f t="shared" si="226"/>
        <v>564460</v>
      </c>
      <c r="E6245" t="s">
        <v>6513</v>
      </c>
      <c r="F6245" t="s">
        <v>11</v>
      </c>
    </row>
    <row r="6246" spans="1:6" x14ac:dyDescent="0.25">
      <c r="A6246" t="str">
        <f>"04548779"</f>
        <v>04548779</v>
      </c>
      <c r="B6246" t="s">
        <v>6557</v>
      </c>
      <c r="C6246" t="s">
        <v>7</v>
      </c>
      <c r="D6246" t="str">
        <f t="shared" si="226"/>
        <v>564460</v>
      </c>
      <c r="E6246" t="s">
        <v>6513</v>
      </c>
      <c r="F6246" t="s">
        <v>11</v>
      </c>
    </row>
    <row r="6247" spans="1:6" x14ac:dyDescent="0.25">
      <c r="A6247" t="str">
        <f>"22686371"</f>
        <v>22686371</v>
      </c>
      <c r="B6247" t="s">
        <v>6558</v>
      </c>
      <c r="C6247" t="s">
        <v>7</v>
      </c>
      <c r="D6247" t="str">
        <f t="shared" si="226"/>
        <v>564460</v>
      </c>
      <c r="E6247" t="s">
        <v>6513</v>
      </c>
      <c r="F6247" t="s">
        <v>9</v>
      </c>
    </row>
    <row r="6248" spans="1:6" x14ac:dyDescent="0.25">
      <c r="A6248" t="str">
        <f>"22831908"</f>
        <v>22831908</v>
      </c>
      <c r="B6248" t="s">
        <v>6559</v>
      </c>
      <c r="C6248" t="s">
        <v>7</v>
      </c>
      <c r="D6248" t="str">
        <f t="shared" si="226"/>
        <v>564460</v>
      </c>
      <c r="E6248" t="s">
        <v>6513</v>
      </c>
      <c r="F6248" t="s">
        <v>11</v>
      </c>
    </row>
    <row r="6249" spans="1:6" x14ac:dyDescent="0.25">
      <c r="A6249" t="str">
        <f>"05198747"</f>
        <v>05198747</v>
      </c>
      <c r="B6249" t="s">
        <v>6560</v>
      </c>
      <c r="C6249" t="s">
        <v>7</v>
      </c>
      <c r="D6249" t="str">
        <f t="shared" si="226"/>
        <v>564460</v>
      </c>
      <c r="E6249" t="s">
        <v>6513</v>
      </c>
      <c r="F6249" t="s">
        <v>11</v>
      </c>
    </row>
    <row r="6250" spans="1:6" x14ac:dyDescent="0.25">
      <c r="A6250" t="str">
        <f>"26543931"</f>
        <v>26543931</v>
      </c>
      <c r="B6250" t="s">
        <v>6561</v>
      </c>
      <c r="C6250" t="s">
        <v>7</v>
      </c>
      <c r="D6250" t="str">
        <f t="shared" si="226"/>
        <v>564460</v>
      </c>
      <c r="E6250" t="s">
        <v>6513</v>
      </c>
      <c r="F6250" t="s">
        <v>9</v>
      </c>
    </row>
    <row r="6251" spans="1:6" x14ac:dyDescent="0.25">
      <c r="A6251" t="str">
        <f>"28556305"</f>
        <v>28556305</v>
      </c>
      <c r="B6251" t="s">
        <v>6562</v>
      </c>
      <c r="C6251" t="s">
        <v>7</v>
      </c>
      <c r="D6251" t="str">
        <f t="shared" si="226"/>
        <v>564460</v>
      </c>
      <c r="E6251" t="s">
        <v>6513</v>
      </c>
      <c r="F6251" t="s">
        <v>11</v>
      </c>
    </row>
    <row r="6252" spans="1:6" x14ac:dyDescent="0.25">
      <c r="A6252" t="str">
        <f>"22734899"</f>
        <v>22734899</v>
      </c>
      <c r="B6252" t="s">
        <v>6563</v>
      </c>
      <c r="C6252" t="s">
        <v>7</v>
      </c>
      <c r="D6252" t="str">
        <f t="shared" si="226"/>
        <v>564460</v>
      </c>
      <c r="E6252" t="s">
        <v>6513</v>
      </c>
      <c r="F6252" t="s">
        <v>11</v>
      </c>
    </row>
    <row r="6253" spans="1:6" x14ac:dyDescent="0.25">
      <c r="A6253" t="str">
        <f>"22731172"</f>
        <v>22731172</v>
      </c>
      <c r="B6253" t="s">
        <v>6564</v>
      </c>
      <c r="C6253" t="s">
        <v>7</v>
      </c>
      <c r="D6253" t="str">
        <f t="shared" si="226"/>
        <v>564460</v>
      </c>
      <c r="E6253" t="s">
        <v>6513</v>
      </c>
      <c r="F6253" t="s">
        <v>11</v>
      </c>
    </row>
    <row r="6254" spans="1:6" x14ac:dyDescent="0.25">
      <c r="A6254" t="str">
        <f>"27055337"</f>
        <v>27055337</v>
      </c>
      <c r="B6254" t="s">
        <v>6565</v>
      </c>
      <c r="C6254" t="s">
        <v>7</v>
      </c>
      <c r="D6254" t="str">
        <f t="shared" si="226"/>
        <v>564460</v>
      </c>
      <c r="E6254" t="s">
        <v>6513</v>
      </c>
      <c r="F6254" t="s">
        <v>11</v>
      </c>
    </row>
    <row r="6255" spans="1:6" x14ac:dyDescent="0.25">
      <c r="A6255" t="str">
        <f>"26556006"</f>
        <v>26556006</v>
      </c>
      <c r="B6255" t="s">
        <v>6566</v>
      </c>
      <c r="C6255" t="s">
        <v>7</v>
      </c>
      <c r="D6255" t="str">
        <f t="shared" si="226"/>
        <v>564460</v>
      </c>
      <c r="E6255" t="s">
        <v>6513</v>
      </c>
      <c r="F6255" t="s">
        <v>11</v>
      </c>
    </row>
    <row r="6256" spans="1:6" x14ac:dyDescent="0.25">
      <c r="A6256" t="str">
        <f>"22863141"</f>
        <v>22863141</v>
      </c>
      <c r="B6256" t="s">
        <v>6567</v>
      </c>
      <c r="C6256" t="s">
        <v>7</v>
      </c>
      <c r="D6256" t="str">
        <f t="shared" si="226"/>
        <v>564460</v>
      </c>
      <c r="E6256" t="s">
        <v>6513</v>
      </c>
      <c r="F6256" t="s">
        <v>389</v>
      </c>
    </row>
    <row r="6257" spans="1:6" x14ac:dyDescent="0.25">
      <c r="A6257" t="str">
        <f>"22832009"</f>
        <v>22832009</v>
      </c>
      <c r="B6257" t="s">
        <v>6568</v>
      </c>
      <c r="C6257" t="s">
        <v>7</v>
      </c>
      <c r="D6257" t="str">
        <f t="shared" si="226"/>
        <v>564460</v>
      </c>
      <c r="E6257" t="s">
        <v>6513</v>
      </c>
      <c r="F6257" t="s">
        <v>389</v>
      </c>
    </row>
    <row r="6258" spans="1:6" x14ac:dyDescent="0.25">
      <c r="A6258" t="str">
        <f>"09599169"</f>
        <v>09599169</v>
      </c>
      <c r="B6258" t="s">
        <v>6569</v>
      </c>
      <c r="C6258" t="s">
        <v>7</v>
      </c>
      <c r="D6258" t="str">
        <f t="shared" si="226"/>
        <v>564460</v>
      </c>
      <c r="E6258" t="s">
        <v>6513</v>
      </c>
      <c r="F6258" t="s">
        <v>11</v>
      </c>
    </row>
    <row r="6259" spans="1:6" x14ac:dyDescent="0.25">
      <c r="A6259" t="str">
        <f>"14303884"</f>
        <v>14303884</v>
      </c>
      <c r="B6259" t="s">
        <v>6570</v>
      </c>
      <c r="C6259" t="s">
        <v>7</v>
      </c>
      <c r="D6259" t="str">
        <f t="shared" si="226"/>
        <v>564460</v>
      </c>
      <c r="E6259" t="s">
        <v>6513</v>
      </c>
      <c r="F6259" t="s">
        <v>389</v>
      </c>
    </row>
    <row r="6260" spans="1:6" x14ac:dyDescent="0.25">
      <c r="A6260" t="str">
        <f>"10765948"</f>
        <v>10765948</v>
      </c>
      <c r="B6260" t="s">
        <v>6571</v>
      </c>
      <c r="C6260" t="s">
        <v>7</v>
      </c>
      <c r="D6260" t="str">
        <f t="shared" si="226"/>
        <v>564460</v>
      </c>
      <c r="E6260" t="s">
        <v>6513</v>
      </c>
      <c r="F6260" t="s">
        <v>11</v>
      </c>
    </row>
    <row r="6261" spans="1:6" x14ac:dyDescent="0.25">
      <c r="A6261" t="str">
        <f>"06138632"</f>
        <v>06138632</v>
      </c>
      <c r="B6261" t="s">
        <v>6572</v>
      </c>
      <c r="C6261" t="s">
        <v>7</v>
      </c>
      <c r="D6261" t="str">
        <f t="shared" si="226"/>
        <v>564460</v>
      </c>
      <c r="E6261" t="s">
        <v>6513</v>
      </c>
      <c r="F6261" t="s">
        <v>11</v>
      </c>
    </row>
    <row r="6262" spans="1:6" x14ac:dyDescent="0.25">
      <c r="A6262" t="str">
        <f>"06007953"</f>
        <v>06007953</v>
      </c>
      <c r="B6262" t="s">
        <v>6573</v>
      </c>
      <c r="C6262" t="s">
        <v>7</v>
      </c>
      <c r="D6262" t="str">
        <f t="shared" si="226"/>
        <v>564460</v>
      </c>
      <c r="E6262" t="s">
        <v>6513</v>
      </c>
      <c r="F6262" t="s">
        <v>62</v>
      </c>
    </row>
    <row r="6263" spans="1:6" x14ac:dyDescent="0.25">
      <c r="A6263" t="str">
        <f>"04617258"</f>
        <v>04617258</v>
      </c>
      <c r="B6263" t="s">
        <v>6574</v>
      </c>
      <c r="C6263" t="s">
        <v>7</v>
      </c>
      <c r="D6263" t="str">
        <f t="shared" si="226"/>
        <v>564460</v>
      </c>
      <c r="E6263" t="s">
        <v>6513</v>
      </c>
      <c r="F6263" t="s">
        <v>11</v>
      </c>
    </row>
    <row r="6264" spans="1:6" x14ac:dyDescent="0.25">
      <c r="A6264" t="str">
        <f>"03624111"</f>
        <v>03624111</v>
      </c>
      <c r="B6264" t="s">
        <v>6575</v>
      </c>
      <c r="C6264" t="s">
        <v>7</v>
      </c>
      <c r="D6264" t="str">
        <f t="shared" si="226"/>
        <v>564460</v>
      </c>
      <c r="E6264" t="s">
        <v>6513</v>
      </c>
      <c r="F6264" t="s">
        <v>18</v>
      </c>
    </row>
    <row r="6265" spans="1:6" x14ac:dyDescent="0.25">
      <c r="A6265" t="str">
        <f>"26611601"</f>
        <v>26611601</v>
      </c>
      <c r="B6265" t="s">
        <v>6576</v>
      </c>
      <c r="C6265" t="s">
        <v>7</v>
      </c>
      <c r="D6265" t="str">
        <f t="shared" si="226"/>
        <v>564460</v>
      </c>
      <c r="E6265" t="s">
        <v>6513</v>
      </c>
      <c r="F6265" t="s">
        <v>38</v>
      </c>
    </row>
    <row r="6266" spans="1:6" x14ac:dyDescent="0.25">
      <c r="A6266" t="str">
        <f>"22753800"</f>
        <v>22753800</v>
      </c>
      <c r="B6266" t="s">
        <v>6577</v>
      </c>
      <c r="C6266" t="s">
        <v>7</v>
      </c>
      <c r="D6266" t="str">
        <f t="shared" ref="D6266:D6289" si="227">"564460"</f>
        <v>564460</v>
      </c>
      <c r="E6266" t="s">
        <v>6513</v>
      </c>
      <c r="F6266" t="s">
        <v>389</v>
      </c>
    </row>
    <row r="6267" spans="1:6" x14ac:dyDescent="0.25">
      <c r="A6267" t="str">
        <f>"26610736"</f>
        <v>26610736</v>
      </c>
      <c r="B6267" t="s">
        <v>6578</v>
      </c>
      <c r="C6267" t="s">
        <v>7</v>
      </c>
      <c r="D6267" t="str">
        <f t="shared" si="227"/>
        <v>564460</v>
      </c>
      <c r="E6267" t="s">
        <v>6513</v>
      </c>
      <c r="F6267" t="s">
        <v>18</v>
      </c>
    </row>
    <row r="6268" spans="1:6" x14ac:dyDescent="0.25">
      <c r="A6268" t="str">
        <f>"27049990"</f>
        <v>27049990</v>
      </c>
      <c r="B6268" t="s">
        <v>6579</v>
      </c>
      <c r="C6268" t="s">
        <v>7</v>
      </c>
      <c r="D6268" t="str">
        <f t="shared" si="227"/>
        <v>564460</v>
      </c>
      <c r="E6268" t="s">
        <v>6513</v>
      </c>
      <c r="F6268" t="s">
        <v>18</v>
      </c>
    </row>
    <row r="6269" spans="1:6" x14ac:dyDescent="0.25">
      <c r="A6269" t="str">
        <f>"22867562"</f>
        <v>22867562</v>
      </c>
      <c r="B6269" t="s">
        <v>6580</v>
      </c>
      <c r="C6269" t="s">
        <v>7</v>
      </c>
      <c r="D6269" t="str">
        <f t="shared" si="227"/>
        <v>564460</v>
      </c>
      <c r="E6269" t="s">
        <v>6513</v>
      </c>
      <c r="F6269" t="s">
        <v>18</v>
      </c>
    </row>
    <row r="6270" spans="1:6" x14ac:dyDescent="0.25">
      <c r="A6270" t="str">
        <f>"64039307"</f>
        <v>64039307</v>
      </c>
      <c r="B6270" t="s">
        <v>6581</v>
      </c>
      <c r="C6270" t="s">
        <v>15</v>
      </c>
      <c r="D6270" t="str">
        <f t="shared" si="227"/>
        <v>564460</v>
      </c>
      <c r="E6270" t="s">
        <v>6513</v>
      </c>
      <c r="F6270" t="s">
        <v>16</v>
      </c>
    </row>
    <row r="6271" spans="1:6" x14ac:dyDescent="0.25">
      <c r="A6271" t="str">
        <f>"19245246"</f>
        <v>19245246</v>
      </c>
      <c r="B6271" t="s">
        <v>6582</v>
      </c>
      <c r="C6271" t="s">
        <v>7</v>
      </c>
      <c r="D6271" t="str">
        <f t="shared" si="227"/>
        <v>564460</v>
      </c>
      <c r="E6271" t="s">
        <v>6513</v>
      </c>
      <c r="F6271" t="s">
        <v>11</v>
      </c>
    </row>
    <row r="6272" spans="1:6" x14ac:dyDescent="0.25">
      <c r="A6272" t="str">
        <f>"64039382"</f>
        <v>64039382</v>
      </c>
      <c r="B6272" t="s">
        <v>6583</v>
      </c>
      <c r="C6272" t="s">
        <v>15</v>
      </c>
      <c r="D6272" t="str">
        <f t="shared" si="227"/>
        <v>564460</v>
      </c>
      <c r="E6272" t="s">
        <v>6513</v>
      </c>
      <c r="F6272" t="s">
        <v>16</v>
      </c>
    </row>
    <row r="6273" spans="1:6" x14ac:dyDescent="0.25">
      <c r="A6273" t="str">
        <f>"21050279"</f>
        <v>21050279</v>
      </c>
      <c r="B6273" t="s">
        <v>6584</v>
      </c>
      <c r="C6273" t="s">
        <v>7</v>
      </c>
      <c r="D6273" t="str">
        <f t="shared" si="227"/>
        <v>564460</v>
      </c>
      <c r="E6273" t="s">
        <v>6513</v>
      </c>
      <c r="F6273" t="s">
        <v>11</v>
      </c>
    </row>
    <row r="6274" spans="1:6" x14ac:dyDescent="0.25">
      <c r="A6274" t="str">
        <f>"04664744"</f>
        <v>04664744</v>
      </c>
      <c r="B6274" t="s">
        <v>6585</v>
      </c>
      <c r="C6274" t="s">
        <v>7</v>
      </c>
      <c r="D6274" t="str">
        <f t="shared" si="227"/>
        <v>564460</v>
      </c>
      <c r="E6274" t="s">
        <v>6513</v>
      </c>
      <c r="F6274" t="s">
        <v>65</v>
      </c>
    </row>
    <row r="6275" spans="1:6" x14ac:dyDescent="0.25">
      <c r="A6275" t="str">
        <f>"22737961"</f>
        <v>22737961</v>
      </c>
      <c r="B6275" t="s">
        <v>6586</v>
      </c>
      <c r="C6275" t="s">
        <v>7</v>
      </c>
      <c r="D6275" t="str">
        <f t="shared" si="227"/>
        <v>564460</v>
      </c>
      <c r="E6275" t="s">
        <v>6513</v>
      </c>
      <c r="F6275" t="s">
        <v>11</v>
      </c>
    </row>
    <row r="6276" spans="1:6" x14ac:dyDescent="0.25">
      <c r="A6276" t="str">
        <f>"27303331"</f>
        <v>27303331</v>
      </c>
      <c r="B6276" t="s">
        <v>6587</v>
      </c>
      <c r="C6276" t="s">
        <v>78</v>
      </c>
      <c r="D6276" t="str">
        <f t="shared" si="227"/>
        <v>564460</v>
      </c>
      <c r="E6276" t="s">
        <v>6513</v>
      </c>
      <c r="F6276" t="s">
        <v>1386</v>
      </c>
    </row>
    <row r="6277" spans="1:6" x14ac:dyDescent="0.25">
      <c r="A6277" t="str">
        <f>"14164191"</f>
        <v>14164191</v>
      </c>
      <c r="B6277" t="s">
        <v>6588</v>
      </c>
      <c r="C6277" t="s">
        <v>7</v>
      </c>
      <c r="D6277" t="str">
        <f t="shared" si="227"/>
        <v>564460</v>
      </c>
      <c r="E6277" t="s">
        <v>6513</v>
      </c>
      <c r="F6277" t="s">
        <v>13</v>
      </c>
    </row>
    <row r="6278" spans="1:6" x14ac:dyDescent="0.25">
      <c r="A6278" t="str">
        <f>"27056279"</f>
        <v>27056279</v>
      </c>
      <c r="B6278" t="s">
        <v>6589</v>
      </c>
      <c r="C6278" t="s">
        <v>7</v>
      </c>
      <c r="D6278" t="str">
        <f t="shared" si="227"/>
        <v>564460</v>
      </c>
      <c r="E6278" t="s">
        <v>6513</v>
      </c>
      <c r="F6278" t="s">
        <v>9</v>
      </c>
    </row>
    <row r="6279" spans="1:6" x14ac:dyDescent="0.25">
      <c r="A6279" t="str">
        <f>"05394082"</f>
        <v>05394082</v>
      </c>
      <c r="B6279" t="s">
        <v>6590</v>
      </c>
      <c r="C6279" t="s">
        <v>7</v>
      </c>
      <c r="D6279" t="str">
        <f t="shared" si="227"/>
        <v>564460</v>
      </c>
      <c r="E6279" t="s">
        <v>6513</v>
      </c>
      <c r="F6279" t="s">
        <v>11</v>
      </c>
    </row>
    <row r="6280" spans="1:6" x14ac:dyDescent="0.25">
      <c r="A6280" t="str">
        <f>"04027833"</f>
        <v>04027833</v>
      </c>
      <c r="B6280" t="s">
        <v>6591</v>
      </c>
      <c r="C6280" t="s">
        <v>7</v>
      </c>
      <c r="D6280" t="str">
        <f t="shared" si="227"/>
        <v>564460</v>
      </c>
      <c r="E6280" t="s">
        <v>6513</v>
      </c>
      <c r="F6280" t="s">
        <v>29</v>
      </c>
    </row>
    <row r="6281" spans="1:6" x14ac:dyDescent="0.25">
      <c r="A6281" t="str">
        <f>"06986986"</f>
        <v>06986986</v>
      </c>
      <c r="B6281" t="s">
        <v>6592</v>
      </c>
      <c r="C6281" t="s">
        <v>7</v>
      </c>
      <c r="D6281" t="str">
        <f t="shared" si="227"/>
        <v>564460</v>
      </c>
      <c r="E6281" t="s">
        <v>6513</v>
      </c>
      <c r="F6281" t="s">
        <v>13</v>
      </c>
    </row>
    <row r="6282" spans="1:6" x14ac:dyDescent="0.25">
      <c r="A6282" t="str">
        <f>"22756418"</f>
        <v>22756418</v>
      </c>
      <c r="B6282" t="s">
        <v>6593</v>
      </c>
      <c r="C6282" t="s">
        <v>7</v>
      </c>
      <c r="D6282" t="str">
        <f t="shared" si="227"/>
        <v>564460</v>
      </c>
      <c r="E6282" t="s">
        <v>6513</v>
      </c>
      <c r="F6282" t="s">
        <v>35</v>
      </c>
    </row>
    <row r="6283" spans="1:6" x14ac:dyDescent="0.25">
      <c r="A6283" t="str">
        <f>"22679731"</f>
        <v>22679731</v>
      </c>
      <c r="B6283" t="s">
        <v>6594</v>
      </c>
      <c r="C6283" t="s">
        <v>7</v>
      </c>
      <c r="D6283" t="str">
        <f t="shared" si="227"/>
        <v>564460</v>
      </c>
      <c r="E6283" t="s">
        <v>6513</v>
      </c>
      <c r="F6283" t="s">
        <v>11</v>
      </c>
    </row>
    <row r="6284" spans="1:6" x14ac:dyDescent="0.25">
      <c r="A6284" t="str">
        <f>"08531951"</f>
        <v>08531951</v>
      </c>
      <c r="B6284" t="s">
        <v>6595</v>
      </c>
      <c r="C6284" t="s">
        <v>7</v>
      </c>
      <c r="D6284" t="str">
        <f t="shared" si="227"/>
        <v>564460</v>
      </c>
      <c r="E6284" t="s">
        <v>6513</v>
      </c>
      <c r="F6284" t="s">
        <v>29</v>
      </c>
    </row>
    <row r="6285" spans="1:6" x14ac:dyDescent="0.25">
      <c r="A6285" t="str">
        <f>"04587324"</f>
        <v>04587324</v>
      </c>
      <c r="B6285" t="s">
        <v>6596</v>
      </c>
      <c r="C6285" t="s">
        <v>7</v>
      </c>
      <c r="D6285" t="str">
        <f t="shared" si="227"/>
        <v>564460</v>
      </c>
      <c r="E6285" t="s">
        <v>6513</v>
      </c>
      <c r="F6285" t="s">
        <v>11</v>
      </c>
    </row>
    <row r="6286" spans="1:6" x14ac:dyDescent="0.25">
      <c r="A6286" t="str">
        <f>"04540174"</f>
        <v>04540174</v>
      </c>
      <c r="B6286" t="s">
        <v>6597</v>
      </c>
      <c r="C6286" t="s">
        <v>7</v>
      </c>
      <c r="D6286" t="str">
        <f t="shared" si="227"/>
        <v>564460</v>
      </c>
      <c r="E6286" t="s">
        <v>6513</v>
      </c>
      <c r="F6286" t="s">
        <v>11</v>
      </c>
    </row>
    <row r="6287" spans="1:6" x14ac:dyDescent="0.25">
      <c r="A6287" t="str">
        <f>"22675868"</f>
        <v>22675868</v>
      </c>
      <c r="B6287" t="s">
        <v>6598</v>
      </c>
      <c r="C6287" t="s">
        <v>7</v>
      </c>
      <c r="D6287" t="str">
        <f t="shared" si="227"/>
        <v>564460</v>
      </c>
      <c r="E6287" t="s">
        <v>6513</v>
      </c>
      <c r="F6287" t="s">
        <v>9</v>
      </c>
    </row>
    <row r="6288" spans="1:6" x14ac:dyDescent="0.25">
      <c r="A6288" t="str">
        <f>"09626271"</f>
        <v>09626271</v>
      </c>
      <c r="B6288" t="s">
        <v>6599</v>
      </c>
      <c r="C6288" t="s">
        <v>7</v>
      </c>
      <c r="D6288" t="str">
        <f t="shared" si="227"/>
        <v>564460</v>
      </c>
      <c r="E6288" t="s">
        <v>6513</v>
      </c>
      <c r="F6288" t="s">
        <v>11</v>
      </c>
    </row>
    <row r="6289" spans="1:6" x14ac:dyDescent="0.25">
      <c r="A6289" t="str">
        <f>"22878840"</f>
        <v>22878840</v>
      </c>
      <c r="B6289" t="s">
        <v>6600</v>
      </c>
      <c r="C6289" t="s">
        <v>7</v>
      </c>
      <c r="D6289" t="str">
        <f t="shared" si="227"/>
        <v>564460</v>
      </c>
      <c r="E6289" t="s">
        <v>6513</v>
      </c>
      <c r="F6289" t="s">
        <v>11</v>
      </c>
    </row>
    <row r="6290" spans="1:6" x14ac:dyDescent="0.25">
      <c r="A6290" t="str">
        <f>"00482862"</f>
        <v>00482862</v>
      </c>
      <c r="B6290" t="s">
        <v>6601</v>
      </c>
      <c r="C6290" t="s">
        <v>15</v>
      </c>
      <c r="D6290" t="str">
        <f t="shared" ref="D6290:D6307" si="228">"562297"</f>
        <v>562297</v>
      </c>
      <c r="E6290" t="s">
        <v>6602</v>
      </c>
      <c r="F6290" t="s">
        <v>29</v>
      </c>
    </row>
    <row r="6291" spans="1:6" x14ac:dyDescent="0.25">
      <c r="A6291" t="str">
        <f>"65650182"</f>
        <v>65650182</v>
      </c>
      <c r="B6291" t="s">
        <v>6603</v>
      </c>
      <c r="C6291" t="s">
        <v>15</v>
      </c>
      <c r="D6291" t="str">
        <f t="shared" si="228"/>
        <v>562297</v>
      </c>
      <c r="E6291" t="s">
        <v>6602</v>
      </c>
      <c r="F6291" t="s">
        <v>29</v>
      </c>
    </row>
    <row r="6292" spans="1:6" x14ac:dyDescent="0.25">
      <c r="A6292" t="str">
        <f>"72088192"</f>
        <v>72088192</v>
      </c>
      <c r="B6292" t="s">
        <v>6604</v>
      </c>
      <c r="C6292" t="s">
        <v>37</v>
      </c>
      <c r="D6292" t="str">
        <f t="shared" si="228"/>
        <v>562297</v>
      </c>
      <c r="E6292" t="s">
        <v>6602</v>
      </c>
      <c r="F6292" t="s">
        <v>38</v>
      </c>
    </row>
    <row r="6293" spans="1:6" x14ac:dyDescent="0.25">
      <c r="A6293" t="str">
        <f>"06647057"</f>
        <v>06647057</v>
      </c>
      <c r="B6293" t="s">
        <v>6605</v>
      </c>
      <c r="C6293" t="s">
        <v>7</v>
      </c>
      <c r="D6293" t="str">
        <f t="shared" si="228"/>
        <v>562297</v>
      </c>
      <c r="E6293" t="s">
        <v>6602</v>
      </c>
      <c r="F6293" t="s">
        <v>29</v>
      </c>
    </row>
    <row r="6294" spans="1:6" x14ac:dyDescent="0.25">
      <c r="A6294" t="str">
        <f>"08679177"</f>
        <v>08679177</v>
      </c>
      <c r="B6294" t="s">
        <v>6606</v>
      </c>
      <c r="C6294" t="s">
        <v>7</v>
      </c>
      <c r="D6294" t="str">
        <f t="shared" si="228"/>
        <v>562297</v>
      </c>
      <c r="E6294" t="s">
        <v>6602</v>
      </c>
      <c r="F6294" t="s">
        <v>11</v>
      </c>
    </row>
    <row r="6295" spans="1:6" x14ac:dyDescent="0.25">
      <c r="A6295" t="str">
        <f>"22823310"</f>
        <v>22823310</v>
      </c>
      <c r="B6295" t="s">
        <v>6607</v>
      </c>
      <c r="C6295" t="s">
        <v>7</v>
      </c>
      <c r="D6295" t="str">
        <f t="shared" si="228"/>
        <v>562297</v>
      </c>
      <c r="E6295" t="s">
        <v>6602</v>
      </c>
      <c r="F6295" t="s">
        <v>11</v>
      </c>
    </row>
    <row r="6296" spans="1:6" x14ac:dyDescent="0.25">
      <c r="A6296" t="str">
        <f>"01794159"</f>
        <v>01794159</v>
      </c>
      <c r="B6296" t="s">
        <v>6608</v>
      </c>
      <c r="C6296" t="s">
        <v>7</v>
      </c>
      <c r="D6296" t="str">
        <f t="shared" si="228"/>
        <v>562297</v>
      </c>
      <c r="E6296" t="s">
        <v>6602</v>
      </c>
      <c r="F6296" t="s">
        <v>38</v>
      </c>
    </row>
    <row r="6297" spans="1:6" x14ac:dyDescent="0.25">
      <c r="A6297" t="str">
        <f>"17526582"</f>
        <v>17526582</v>
      </c>
      <c r="B6297" t="s">
        <v>6609</v>
      </c>
      <c r="C6297" t="s">
        <v>124</v>
      </c>
      <c r="D6297" t="str">
        <f t="shared" si="228"/>
        <v>562297</v>
      </c>
      <c r="E6297" t="s">
        <v>6602</v>
      </c>
      <c r="F6297" t="s">
        <v>11</v>
      </c>
    </row>
    <row r="6298" spans="1:6" x14ac:dyDescent="0.25">
      <c r="A6298" t="str">
        <f>"68983671"</f>
        <v>68983671</v>
      </c>
      <c r="B6298" t="s">
        <v>6610</v>
      </c>
      <c r="C6298" t="s">
        <v>7</v>
      </c>
      <c r="D6298" t="str">
        <f t="shared" si="228"/>
        <v>562297</v>
      </c>
      <c r="E6298" t="s">
        <v>6602</v>
      </c>
      <c r="F6298" t="s">
        <v>254</v>
      </c>
    </row>
    <row r="6299" spans="1:6" x14ac:dyDescent="0.25">
      <c r="A6299" t="str">
        <f>"18382398"</f>
        <v>18382398</v>
      </c>
      <c r="B6299" t="s">
        <v>6611</v>
      </c>
      <c r="C6299" t="s">
        <v>20</v>
      </c>
      <c r="D6299" t="str">
        <f t="shared" si="228"/>
        <v>562297</v>
      </c>
      <c r="E6299" t="s">
        <v>6602</v>
      </c>
      <c r="F6299" t="s">
        <v>21</v>
      </c>
    </row>
    <row r="6300" spans="1:6" x14ac:dyDescent="0.25">
      <c r="A6300" t="str">
        <f>"09746447"</f>
        <v>09746447</v>
      </c>
      <c r="B6300" t="s">
        <v>6612</v>
      </c>
      <c r="C6300" t="s">
        <v>7</v>
      </c>
      <c r="D6300" t="str">
        <f t="shared" si="228"/>
        <v>562297</v>
      </c>
      <c r="E6300" t="s">
        <v>6602</v>
      </c>
      <c r="F6300" t="s">
        <v>35</v>
      </c>
    </row>
    <row r="6301" spans="1:6" x14ac:dyDescent="0.25">
      <c r="A6301" t="str">
        <f>"03978524"</f>
        <v>03978524</v>
      </c>
      <c r="B6301" t="s">
        <v>6613</v>
      </c>
      <c r="C6301" t="s">
        <v>7</v>
      </c>
      <c r="D6301" t="str">
        <f t="shared" si="228"/>
        <v>562297</v>
      </c>
      <c r="E6301" t="s">
        <v>6602</v>
      </c>
      <c r="F6301" t="s">
        <v>13</v>
      </c>
    </row>
    <row r="6302" spans="1:6" x14ac:dyDescent="0.25">
      <c r="A6302" t="str">
        <f>"22886419"</f>
        <v>22886419</v>
      </c>
      <c r="B6302" t="s">
        <v>6614</v>
      </c>
      <c r="C6302" t="s">
        <v>7</v>
      </c>
      <c r="D6302" t="str">
        <f t="shared" si="228"/>
        <v>562297</v>
      </c>
      <c r="E6302" t="s">
        <v>6602</v>
      </c>
      <c r="F6302" t="s">
        <v>11</v>
      </c>
    </row>
    <row r="6303" spans="1:6" x14ac:dyDescent="0.25">
      <c r="A6303" t="str">
        <f>"01733915"</f>
        <v>01733915</v>
      </c>
      <c r="B6303" t="s">
        <v>6615</v>
      </c>
      <c r="C6303" t="s">
        <v>7</v>
      </c>
      <c r="D6303" t="str">
        <f t="shared" si="228"/>
        <v>562297</v>
      </c>
      <c r="E6303" t="s">
        <v>6602</v>
      </c>
      <c r="F6303" t="s">
        <v>13</v>
      </c>
    </row>
    <row r="6304" spans="1:6" x14ac:dyDescent="0.25">
      <c r="A6304" t="str">
        <f>"71161783"</f>
        <v>71161783</v>
      </c>
      <c r="B6304" t="s">
        <v>6616</v>
      </c>
      <c r="C6304" t="s">
        <v>15</v>
      </c>
      <c r="D6304" t="str">
        <f t="shared" si="228"/>
        <v>562297</v>
      </c>
      <c r="E6304" t="s">
        <v>6602</v>
      </c>
      <c r="F6304" t="s">
        <v>16</v>
      </c>
    </row>
    <row r="6305" spans="1:6" x14ac:dyDescent="0.25">
      <c r="A6305" t="str">
        <f>"49864173"</f>
        <v>49864173</v>
      </c>
      <c r="B6305" t="s">
        <v>6617</v>
      </c>
      <c r="C6305" t="s">
        <v>7</v>
      </c>
      <c r="D6305" t="str">
        <f t="shared" si="228"/>
        <v>562297</v>
      </c>
      <c r="E6305" t="s">
        <v>6602</v>
      </c>
      <c r="F6305" t="s">
        <v>9</v>
      </c>
    </row>
    <row r="6306" spans="1:6" x14ac:dyDescent="0.25">
      <c r="A6306" t="str">
        <f>"72038624"</f>
        <v>72038624</v>
      </c>
      <c r="B6306" t="s">
        <v>6618</v>
      </c>
      <c r="C6306" t="s">
        <v>15</v>
      </c>
      <c r="D6306" t="str">
        <f t="shared" si="228"/>
        <v>562297</v>
      </c>
      <c r="E6306" t="s">
        <v>6602</v>
      </c>
      <c r="F6306" t="s">
        <v>29</v>
      </c>
    </row>
    <row r="6307" spans="1:6" x14ac:dyDescent="0.25">
      <c r="A6307" t="str">
        <f>"06897126"</f>
        <v>06897126</v>
      </c>
      <c r="B6307" t="s">
        <v>6619</v>
      </c>
      <c r="C6307" t="s">
        <v>7</v>
      </c>
      <c r="D6307" t="str">
        <f t="shared" si="228"/>
        <v>562297</v>
      </c>
      <c r="E6307" t="s">
        <v>6602</v>
      </c>
      <c r="F6307" t="s">
        <v>328</v>
      </c>
    </row>
    <row r="6308" spans="1:6" x14ac:dyDescent="0.25">
      <c r="A6308" t="str">
        <f>"17532663"</f>
        <v>17532663</v>
      </c>
      <c r="B6308" t="s">
        <v>6620</v>
      </c>
      <c r="C6308" t="s">
        <v>7</v>
      </c>
      <c r="D6308" t="str">
        <f t="shared" ref="D6308:D6339" si="229">"563871"</f>
        <v>563871</v>
      </c>
      <c r="E6308" t="s">
        <v>6621</v>
      </c>
      <c r="F6308" t="s">
        <v>11</v>
      </c>
    </row>
    <row r="6309" spans="1:6" x14ac:dyDescent="0.25">
      <c r="A6309" t="str">
        <f>"63155371"</f>
        <v>63155371</v>
      </c>
      <c r="B6309" t="s">
        <v>6622</v>
      </c>
      <c r="C6309" t="s">
        <v>7</v>
      </c>
      <c r="D6309" t="str">
        <f t="shared" si="229"/>
        <v>563871</v>
      </c>
      <c r="E6309" t="s">
        <v>6621</v>
      </c>
      <c r="F6309" t="s">
        <v>11</v>
      </c>
    </row>
    <row r="6310" spans="1:6" x14ac:dyDescent="0.25">
      <c r="A6310" t="str">
        <f>"27022048"</f>
        <v>27022048</v>
      </c>
      <c r="B6310" t="s">
        <v>6623</v>
      </c>
      <c r="C6310" t="s">
        <v>7</v>
      </c>
      <c r="D6310" t="str">
        <f t="shared" si="229"/>
        <v>563871</v>
      </c>
      <c r="E6310" t="s">
        <v>6621</v>
      </c>
      <c r="F6310" t="s">
        <v>11</v>
      </c>
    </row>
    <row r="6311" spans="1:6" x14ac:dyDescent="0.25">
      <c r="A6311" t="str">
        <f>"26540762"</f>
        <v>26540762</v>
      </c>
      <c r="B6311" t="s">
        <v>6624</v>
      </c>
      <c r="C6311" t="s">
        <v>7</v>
      </c>
      <c r="D6311" t="str">
        <f t="shared" si="229"/>
        <v>563871</v>
      </c>
      <c r="E6311" t="s">
        <v>6621</v>
      </c>
      <c r="F6311" t="s">
        <v>11</v>
      </c>
    </row>
    <row r="6312" spans="1:6" x14ac:dyDescent="0.25">
      <c r="A6312" t="str">
        <f>"00482889"</f>
        <v>00482889</v>
      </c>
      <c r="B6312" t="s">
        <v>6625</v>
      </c>
      <c r="C6312" t="s">
        <v>15</v>
      </c>
      <c r="D6312" t="str">
        <f t="shared" si="229"/>
        <v>563871</v>
      </c>
      <c r="E6312" t="s">
        <v>6621</v>
      </c>
      <c r="F6312" t="s">
        <v>29</v>
      </c>
    </row>
    <row r="6313" spans="1:6" x14ac:dyDescent="0.25">
      <c r="A6313" t="str">
        <f>"60253487"</f>
        <v>60253487</v>
      </c>
      <c r="B6313" t="s">
        <v>6626</v>
      </c>
      <c r="C6313" t="s">
        <v>15</v>
      </c>
      <c r="D6313" t="str">
        <f t="shared" si="229"/>
        <v>563871</v>
      </c>
      <c r="E6313" t="s">
        <v>6621</v>
      </c>
      <c r="F6313" t="s">
        <v>29</v>
      </c>
    </row>
    <row r="6314" spans="1:6" x14ac:dyDescent="0.25">
      <c r="A6314" t="str">
        <f>"22858661"</f>
        <v>22858661</v>
      </c>
      <c r="B6314" t="s">
        <v>6627</v>
      </c>
      <c r="C6314" t="s">
        <v>7</v>
      </c>
      <c r="D6314" t="str">
        <f t="shared" si="229"/>
        <v>563871</v>
      </c>
      <c r="E6314" t="s">
        <v>6621</v>
      </c>
      <c r="F6314" t="s">
        <v>328</v>
      </c>
    </row>
    <row r="6315" spans="1:6" x14ac:dyDescent="0.25">
      <c r="A6315" t="str">
        <f>"22902813"</f>
        <v>22902813</v>
      </c>
      <c r="B6315" t="s">
        <v>6628</v>
      </c>
      <c r="C6315" t="s">
        <v>7</v>
      </c>
      <c r="D6315" t="str">
        <f t="shared" si="229"/>
        <v>563871</v>
      </c>
      <c r="E6315" t="s">
        <v>6621</v>
      </c>
      <c r="F6315" t="s">
        <v>11</v>
      </c>
    </row>
    <row r="6316" spans="1:6" x14ac:dyDescent="0.25">
      <c r="A6316" t="str">
        <f>"66111285"</f>
        <v>66111285</v>
      </c>
      <c r="B6316" t="s">
        <v>6629</v>
      </c>
      <c r="C6316" t="s">
        <v>7</v>
      </c>
      <c r="D6316" t="str">
        <f t="shared" si="229"/>
        <v>563871</v>
      </c>
      <c r="E6316" t="s">
        <v>6621</v>
      </c>
      <c r="F6316" t="s">
        <v>11</v>
      </c>
    </row>
    <row r="6317" spans="1:6" x14ac:dyDescent="0.25">
      <c r="A6317" t="str">
        <f>"02329786"</f>
        <v>02329786</v>
      </c>
      <c r="B6317" t="s">
        <v>6630</v>
      </c>
      <c r="C6317" t="s">
        <v>7</v>
      </c>
      <c r="D6317" t="str">
        <f t="shared" si="229"/>
        <v>563871</v>
      </c>
      <c r="E6317" t="s">
        <v>6621</v>
      </c>
      <c r="F6317" t="s">
        <v>11</v>
      </c>
    </row>
    <row r="6318" spans="1:6" x14ac:dyDescent="0.25">
      <c r="A6318" t="str">
        <f>"27004155"</f>
        <v>27004155</v>
      </c>
      <c r="B6318" t="s">
        <v>6631</v>
      </c>
      <c r="C6318" t="s">
        <v>7</v>
      </c>
      <c r="D6318" t="str">
        <f t="shared" si="229"/>
        <v>563871</v>
      </c>
      <c r="E6318" t="s">
        <v>6621</v>
      </c>
      <c r="F6318" t="s">
        <v>11</v>
      </c>
    </row>
    <row r="6319" spans="1:6" x14ac:dyDescent="0.25">
      <c r="A6319" t="str">
        <f>"27049779"</f>
        <v>27049779</v>
      </c>
      <c r="B6319" t="s">
        <v>6632</v>
      </c>
      <c r="C6319" t="s">
        <v>7</v>
      </c>
      <c r="D6319" t="str">
        <f t="shared" si="229"/>
        <v>563871</v>
      </c>
      <c r="E6319" t="s">
        <v>6621</v>
      </c>
      <c r="F6319" t="s">
        <v>9</v>
      </c>
    </row>
    <row r="6320" spans="1:6" x14ac:dyDescent="0.25">
      <c r="A6320" t="str">
        <f>"27044904"</f>
        <v>27044904</v>
      </c>
      <c r="B6320" t="s">
        <v>6633</v>
      </c>
      <c r="C6320" t="s">
        <v>7</v>
      </c>
      <c r="D6320" t="str">
        <f t="shared" si="229"/>
        <v>563871</v>
      </c>
      <c r="E6320" t="s">
        <v>6621</v>
      </c>
      <c r="F6320" t="s">
        <v>11</v>
      </c>
    </row>
    <row r="6321" spans="1:6" x14ac:dyDescent="0.25">
      <c r="A6321" t="str">
        <f>"60253606"</f>
        <v>60253606</v>
      </c>
      <c r="B6321" t="s">
        <v>6634</v>
      </c>
      <c r="C6321" t="s">
        <v>7</v>
      </c>
      <c r="D6321" t="str">
        <f t="shared" si="229"/>
        <v>563871</v>
      </c>
      <c r="E6321" t="s">
        <v>6621</v>
      </c>
      <c r="F6321" t="s">
        <v>9</v>
      </c>
    </row>
    <row r="6322" spans="1:6" x14ac:dyDescent="0.25">
      <c r="A6322" t="str">
        <f>"22753516"</f>
        <v>22753516</v>
      </c>
      <c r="B6322" t="s">
        <v>6635</v>
      </c>
      <c r="C6322" t="s">
        <v>7</v>
      </c>
      <c r="D6322" t="str">
        <f t="shared" si="229"/>
        <v>563871</v>
      </c>
      <c r="E6322" t="s">
        <v>6621</v>
      </c>
      <c r="F6322" t="s">
        <v>9</v>
      </c>
    </row>
    <row r="6323" spans="1:6" x14ac:dyDescent="0.25">
      <c r="A6323" t="str">
        <f>"22900951"</f>
        <v>22900951</v>
      </c>
      <c r="B6323" t="s">
        <v>6636</v>
      </c>
      <c r="C6323" t="s">
        <v>7</v>
      </c>
      <c r="D6323" t="str">
        <f t="shared" si="229"/>
        <v>563871</v>
      </c>
      <c r="E6323" t="s">
        <v>6621</v>
      </c>
      <c r="F6323" t="s">
        <v>11</v>
      </c>
    </row>
    <row r="6324" spans="1:6" x14ac:dyDescent="0.25">
      <c r="A6324" t="str">
        <f>"10790411"</f>
        <v>10790411</v>
      </c>
      <c r="B6324" t="s">
        <v>6637</v>
      </c>
      <c r="C6324" t="s">
        <v>7</v>
      </c>
      <c r="D6324" t="str">
        <f t="shared" si="229"/>
        <v>563871</v>
      </c>
      <c r="E6324" t="s">
        <v>6621</v>
      </c>
      <c r="F6324" t="s">
        <v>18</v>
      </c>
    </row>
    <row r="6325" spans="1:6" x14ac:dyDescent="0.25">
      <c r="A6325" t="str">
        <f>"07068174"</f>
        <v>07068174</v>
      </c>
      <c r="B6325" t="s">
        <v>6638</v>
      </c>
      <c r="C6325" t="s">
        <v>7</v>
      </c>
      <c r="D6325" t="str">
        <f t="shared" si="229"/>
        <v>563871</v>
      </c>
      <c r="E6325" t="s">
        <v>6621</v>
      </c>
      <c r="F6325" t="s">
        <v>35</v>
      </c>
    </row>
    <row r="6326" spans="1:6" x14ac:dyDescent="0.25">
      <c r="A6326" t="str">
        <f>"43256333"</f>
        <v>43256333</v>
      </c>
      <c r="B6326" t="s">
        <v>6639</v>
      </c>
      <c r="C6326" t="s">
        <v>37</v>
      </c>
      <c r="D6326" t="str">
        <f t="shared" si="229"/>
        <v>563871</v>
      </c>
      <c r="E6326" t="s">
        <v>6621</v>
      </c>
      <c r="F6326" t="s">
        <v>38</v>
      </c>
    </row>
    <row r="6327" spans="1:6" x14ac:dyDescent="0.25">
      <c r="A6327" t="str">
        <f>"43256538"</f>
        <v>43256538</v>
      </c>
      <c r="B6327" t="s">
        <v>6640</v>
      </c>
      <c r="C6327" t="s">
        <v>37</v>
      </c>
      <c r="D6327" t="str">
        <f t="shared" si="229"/>
        <v>563871</v>
      </c>
      <c r="E6327" t="s">
        <v>6621</v>
      </c>
      <c r="F6327" t="s">
        <v>38</v>
      </c>
    </row>
    <row r="6328" spans="1:6" x14ac:dyDescent="0.25">
      <c r="A6328" t="str">
        <f>"22822534"</f>
        <v>22822534</v>
      </c>
      <c r="B6328" t="s">
        <v>6641</v>
      </c>
      <c r="C6328" t="s">
        <v>7</v>
      </c>
      <c r="D6328" t="str">
        <f t="shared" si="229"/>
        <v>563871</v>
      </c>
      <c r="E6328" t="s">
        <v>6621</v>
      </c>
      <c r="F6328" t="s">
        <v>11</v>
      </c>
    </row>
    <row r="6329" spans="1:6" x14ac:dyDescent="0.25">
      <c r="A6329" t="str">
        <f>"28751388"</f>
        <v>28751388</v>
      </c>
      <c r="B6329" t="s">
        <v>6642</v>
      </c>
      <c r="C6329" t="s">
        <v>78</v>
      </c>
      <c r="D6329" t="str">
        <f t="shared" si="229"/>
        <v>563871</v>
      </c>
      <c r="E6329" t="s">
        <v>6621</v>
      </c>
      <c r="F6329" t="s">
        <v>13</v>
      </c>
    </row>
    <row r="6330" spans="1:6" x14ac:dyDescent="0.25">
      <c r="A6330" t="str">
        <f>"60252944"</f>
        <v>60252944</v>
      </c>
      <c r="B6330" t="s">
        <v>6643</v>
      </c>
      <c r="C6330" t="s">
        <v>15</v>
      </c>
      <c r="D6330" t="str">
        <f t="shared" si="229"/>
        <v>563871</v>
      </c>
      <c r="E6330" t="s">
        <v>6621</v>
      </c>
      <c r="F6330" t="s">
        <v>139</v>
      </c>
    </row>
    <row r="6331" spans="1:6" x14ac:dyDescent="0.25">
      <c r="A6331" t="str">
        <f>"01579053"</f>
        <v>01579053</v>
      </c>
      <c r="B6331" t="s">
        <v>6644</v>
      </c>
      <c r="C6331" t="s">
        <v>7</v>
      </c>
      <c r="D6331" t="str">
        <f t="shared" si="229"/>
        <v>563871</v>
      </c>
      <c r="E6331" t="s">
        <v>6621</v>
      </c>
      <c r="F6331" t="s">
        <v>139</v>
      </c>
    </row>
    <row r="6332" spans="1:6" x14ac:dyDescent="0.25">
      <c r="A6332" t="str">
        <f>"64669114"</f>
        <v>64669114</v>
      </c>
      <c r="B6332" t="s">
        <v>6645</v>
      </c>
      <c r="C6332" t="s">
        <v>7</v>
      </c>
      <c r="D6332" t="str">
        <f t="shared" si="229"/>
        <v>563871</v>
      </c>
      <c r="E6332" t="s">
        <v>6621</v>
      </c>
      <c r="F6332" t="s">
        <v>9</v>
      </c>
    </row>
    <row r="6333" spans="1:6" x14ac:dyDescent="0.25">
      <c r="A6333" t="str">
        <f>"05185840"</f>
        <v>05185840</v>
      </c>
      <c r="B6333" t="s">
        <v>6646</v>
      </c>
      <c r="C6333" t="s">
        <v>15</v>
      </c>
      <c r="D6333" t="str">
        <f t="shared" si="229"/>
        <v>563871</v>
      </c>
      <c r="E6333" t="s">
        <v>6621</v>
      </c>
      <c r="F6333" t="s">
        <v>29</v>
      </c>
    </row>
    <row r="6334" spans="1:6" x14ac:dyDescent="0.25">
      <c r="A6334" t="str">
        <f>"64668436"</f>
        <v>64668436</v>
      </c>
      <c r="B6334" t="s">
        <v>6647</v>
      </c>
      <c r="C6334" t="s">
        <v>7</v>
      </c>
      <c r="D6334" t="str">
        <f t="shared" si="229"/>
        <v>563871</v>
      </c>
      <c r="E6334" t="s">
        <v>6621</v>
      </c>
      <c r="F6334" t="s">
        <v>11</v>
      </c>
    </row>
    <row r="6335" spans="1:6" x14ac:dyDescent="0.25">
      <c r="A6335" t="str">
        <f>"26992914"</f>
        <v>26992914</v>
      </c>
      <c r="B6335" t="s">
        <v>6648</v>
      </c>
      <c r="C6335" t="s">
        <v>7</v>
      </c>
      <c r="D6335" t="str">
        <f t="shared" si="229"/>
        <v>563871</v>
      </c>
      <c r="E6335" t="s">
        <v>6621</v>
      </c>
      <c r="F6335" t="s">
        <v>11</v>
      </c>
    </row>
    <row r="6336" spans="1:6" x14ac:dyDescent="0.25">
      <c r="A6336" t="str">
        <f>"64669475"</f>
        <v>64669475</v>
      </c>
      <c r="B6336" t="s">
        <v>6649</v>
      </c>
      <c r="C6336" t="s">
        <v>7</v>
      </c>
      <c r="D6336" t="str">
        <f t="shared" si="229"/>
        <v>563871</v>
      </c>
      <c r="E6336" t="s">
        <v>6621</v>
      </c>
      <c r="F6336" t="s">
        <v>11</v>
      </c>
    </row>
    <row r="6337" spans="1:6" x14ac:dyDescent="0.25">
      <c r="A6337" t="str">
        <f>"21400041"</f>
        <v>21400041</v>
      </c>
      <c r="B6337" t="s">
        <v>6650</v>
      </c>
      <c r="C6337" t="s">
        <v>7</v>
      </c>
      <c r="D6337" t="str">
        <f t="shared" si="229"/>
        <v>563871</v>
      </c>
      <c r="E6337" t="s">
        <v>6621</v>
      </c>
      <c r="F6337" t="s">
        <v>328</v>
      </c>
    </row>
    <row r="6338" spans="1:6" x14ac:dyDescent="0.25">
      <c r="A6338" t="str">
        <f>"26590573"</f>
        <v>26590573</v>
      </c>
      <c r="B6338" t="s">
        <v>6651</v>
      </c>
      <c r="C6338" t="s">
        <v>7</v>
      </c>
      <c r="D6338" t="str">
        <f t="shared" si="229"/>
        <v>563871</v>
      </c>
      <c r="E6338" t="s">
        <v>6621</v>
      </c>
      <c r="F6338" t="s">
        <v>11</v>
      </c>
    </row>
    <row r="6339" spans="1:6" x14ac:dyDescent="0.25">
      <c r="A6339" t="str">
        <f>"01203509"</f>
        <v>01203509</v>
      </c>
      <c r="B6339" t="s">
        <v>6652</v>
      </c>
      <c r="C6339" t="s">
        <v>7</v>
      </c>
      <c r="D6339" t="str">
        <f t="shared" si="229"/>
        <v>563871</v>
      </c>
      <c r="E6339" t="s">
        <v>6621</v>
      </c>
      <c r="F6339" t="s">
        <v>11</v>
      </c>
    </row>
    <row r="6340" spans="1:6" x14ac:dyDescent="0.25">
      <c r="A6340" t="str">
        <f>"07553552"</f>
        <v>07553552</v>
      </c>
      <c r="B6340" t="s">
        <v>6653</v>
      </c>
      <c r="C6340" t="s">
        <v>7</v>
      </c>
      <c r="D6340" t="str">
        <f t="shared" ref="D6340:D6371" si="230">"563871"</f>
        <v>563871</v>
      </c>
      <c r="E6340" t="s">
        <v>6621</v>
      </c>
      <c r="F6340" t="s">
        <v>11</v>
      </c>
    </row>
    <row r="6341" spans="1:6" x14ac:dyDescent="0.25">
      <c r="A6341" t="str">
        <f>"43256724"</f>
        <v>43256724</v>
      </c>
      <c r="B6341" t="s">
        <v>6654</v>
      </c>
      <c r="C6341" t="s">
        <v>7</v>
      </c>
      <c r="D6341" t="str">
        <f t="shared" si="230"/>
        <v>563871</v>
      </c>
      <c r="E6341" t="s">
        <v>6621</v>
      </c>
      <c r="F6341" t="s">
        <v>38</v>
      </c>
    </row>
    <row r="6342" spans="1:6" x14ac:dyDescent="0.25">
      <c r="A6342" t="str">
        <f>"60252693"</f>
        <v>60252693</v>
      </c>
      <c r="B6342" t="s">
        <v>6655</v>
      </c>
      <c r="C6342" t="s">
        <v>7</v>
      </c>
      <c r="D6342" t="str">
        <f t="shared" si="230"/>
        <v>563871</v>
      </c>
      <c r="E6342" t="s">
        <v>6621</v>
      </c>
      <c r="F6342" t="s">
        <v>38</v>
      </c>
    </row>
    <row r="6343" spans="1:6" x14ac:dyDescent="0.25">
      <c r="A6343" t="str">
        <f>"43257135"</f>
        <v>43257135</v>
      </c>
      <c r="B6343" t="s">
        <v>6656</v>
      </c>
      <c r="C6343" t="s">
        <v>124</v>
      </c>
      <c r="D6343" t="str">
        <f t="shared" si="230"/>
        <v>563871</v>
      </c>
      <c r="E6343" t="s">
        <v>6621</v>
      </c>
      <c r="F6343" t="s">
        <v>11</v>
      </c>
    </row>
    <row r="6344" spans="1:6" x14ac:dyDescent="0.25">
      <c r="A6344" t="str">
        <f>"22858253"</f>
        <v>22858253</v>
      </c>
      <c r="B6344" t="s">
        <v>6657</v>
      </c>
      <c r="C6344" t="s">
        <v>7</v>
      </c>
      <c r="D6344" t="str">
        <f t="shared" si="230"/>
        <v>563871</v>
      </c>
      <c r="E6344" t="s">
        <v>6621</v>
      </c>
      <c r="F6344" t="s">
        <v>11</v>
      </c>
    </row>
    <row r="6345" spans="1:6" x14ac:dyDescent="0.25">
      <c r="A6345" t="str">
        <f>"70229601"</f>
        <v>70229601</v>
      </c>
      <c r="B6345" t="s">
        <v>6658</v>
      </c>
      <c r="C6345" t="s">
        <v>43</v>
      </c>
      <c r="D6345" t="str">
        <f t="shared" si="230"/>
        <v>563871</v>
      </c>
      <c r="E6345" t="s">
        <v>6621</v>
      </c>
      <c r="F6345" t="s">
        <v>44</v>
      </c>
    </row>
    <row r="6346" spans="1:6" x14ac:dyDescent="0.25">
      <c r="A6346" t="str">
        <f>"08504041"</f>
        <v>08504041</v>
      </c>
      <c r="B6346" t="s">
        <v>6659</v>
      </c>
      <c r="C6346" t="s">
        <v>20</v>
      </c>
      <c r="D6346" t="str">
        <f t="shared" si="230"/>
        <v>563871</v>
      </c>
      <c r="E6346" t="s">
        <v>6621</v>
      </c>
      <c r="F6346" t="s">
        <v>21</v>
      </c>
    </row>
    <row r="6347" spans="1:6" x14ac:dyDescent="0.25">
      <c r="A6347" t="str">
        <f>"14867044"</f>
        <v>14867044</v>
      </c>
      <c r="B6347" t="s">
        <v>6660</v>
      </c>
      <c r="C6347" t="s">
        <v>20</v>
      </c>
      <c r="D6347" t="str">
        <f t="shared" si="230"/>
        <v>563871</v>
      </c>
      <c r="E6347" t="s">
        <v>6621</v>
      </c>
      <c r="F6347" t="s">
        <v>21</v>
      </c>
    </row>
    <row r="6348" spans="1:6" x14ac:dyDescent="0.25">
      <c r="A6348" t="str">
        <f>"18005454"</f>
        <v>18005454</v>
      </c>
      <c r="B6348" t="s">
        <v>6661</v>
      </c>
      <c r="C6348" t="s">
        <v>7</v>
      </c>
      <c r="D6348" t="str">
        <f t="shared" si="230"/>
        <v>563871</v>
      </c>
      <c r="E6348" t="s">
        <v>6621</v>
      </c>
      <c r="F6348" t="s">
        <v>62</v>
      </c>
    </row>
    <row r="6349" spans="1:6" x14ac:dyDescent="0.25">
      <c r="A6349" t="str">
        <f>"73632155"</f>
        <v>73632155</v>
      </c>
      <c r="B6349" t="s">
        <v>6662</v>
      </c>
      <c r="C6349" t="s">
        <v>43</v>
      </c>
      <c r="D6349" t="str">
        <f t="shared" si="230"/>
        <v>563871</v>
      </c>
      <c r="E6349" t="s">
        <v>6621</v>
      </c>
      <c r="F6349" t="s">
        <v>44</v>
      </c>
    </row>
    <row r="6350" spans="1:6" x14ac:dyDescent="0.25">
      <c r="A6350" t="str">
        <f>"04885031"</f>
        <v>04885031</v>
      </c>
      <c r="B6350" t="s">
        <v>6663</v>
      </c>
      <c r="C6350" t="s">
        <v>7</v>
      </c>
      <c r="D6350" t="str">
        <f t="shared" si="230"/>
        <v>563871</v>
      </c>
      <c r="E6350" t="s">
        <v>6621</v>
      </c>
      <c r="F6350" t="s">
        <v>11</v>
      </c>
    </row>
    <row r="6351" spans="1:6" x14ac:dyDescent="0.25">
      <c r="A6351" t="str">
        <f>"43256848"</f>
        <v>43256848</v>
      </c>
      <c r="B6351" t="s">
        <v>6664</v>
      </c>
      <c r="C6351" t="s">
        <v>43</v>
      </c>
      <c r="D6351" t="str">
        <f t="shared" si="230"/>
        <v>563871</v>
      </c>
      <c r="E6351" t="s">
        <v>6621</v>
      </c>
      <c r="F6351" t="s">
        <v>44</v>
      </c>
    </row>
    <row r="6352" spans="1:6" x14ac:dyDescent="0.25">
      <c r="A6352" t="str">
        <f>"60252481"</f>
        <v>60252481</v>
      </c>
      <c r="B6352" t="s">
        <v>6665</v>
      </c>
      <c r="C6352" t="s">
        <v>43</v>
      </c>
      <c r="D6352" t="str">
        <f t="shared" si="230"/>
        <v>563871</v>
      </c>
      <c r="E6352" t="s">
        <v>6621</v>
      </c>
      <c r="F6352" t="s">
        <v>44</v>
      </c>
    </row>
    <row r="6353" spans="1:6" x14ac:dyDescent="0.25">
      <c r="A6353" t="str">
        <f>"60254394"</f>
        <v>60254394</v>
      </c>
      <c r="B6353" t="s">
        <v>6666</v>
      </c>
      <c r="C6353" t="s">
        <v>43</v>
      </c>
      <c r="D6353" t="str">
        <f t="shared" si="230"/>
        <v>563871</v>
      </c>
      <c r="E6353" t="s">
        <v>6621</v>
      </c>
      <c r="F6353" t="s">
        <v>44</v>
      </c>
    </row>
    <row r="6354" spans="1:6" x14ac:dyDescent="0.25">
      <c r="A6354" t="str">
        <f>"49295993"</f>
        <v>49295993</v>
      </c>
      <c r="B6354" t="s">
        <v>6667</v>
      </c>
      <c r="C6354" t="s">
        <v>43</v>
      </c>
      <c r="D6354" t="str">
        <f t="shared" si="230"/>
        <v>563871</v>
      </c>
      <c r="E6354" t="s">
        <v>6621</v>
      </c>
      <c r="F6354" t="s">
        <v>44</v>
      </c>
    </row>
    <row r="6355" spans="1:6" x14ac:dyDescent="0.25">
      <c r="A6355" t="str">
        <f>"60254408"</f>
        <v>60254408</v>
      </c>
      <c r="B6355" t="s">
        <v>6668</v>
      </c>
      <c r="C6355" t="s">
        <v>43</v>
      </c>
      <c r="D6355" t="str">
        <f t="shared" si="230"/>
        <v>563871</v>
      </c>
      <c r="E6355" t="s">
        <v>6621</v>
      </c>
      <c r="F6355" t="s">
        <v>44</v>
      </c>
    </row>
    <row r="6356" spans="1:6" x14ac:dyDescent="0.25">
      <c r="A6356" t="str">
        <f>"64668258"</f>
        <v>64668258</v>
      </c>
      <c r="B6356" t="s">
        <v>6669</v>
      </c>
      <c r="C6356" t="s">
        <v>15</v>
      </c>
      <c r="D6356" t="str">
        <f t="shared" si="230"/>
        <v>563871</v>
      </c>
      <c r="E6356" t="s">
        <v>6621</v>
      </c>
      <c r="F6356" t="s">
        <v>16</v>
      </c>
    </row>
    <row r="6357" spans="1:6" x14ac:dyDescent="0.25">
      <c r="A6357" t="str">
        <f>"60254874"</f>
        <v>60254874</v>
      </c>
      <c r="B6357" t="s">
        <v>6670</v>
      </c>
      <c r="C6357" t="s">
        <v>15</v>
      </c>
      <c r="D6357" t="str">
        <f t="shared" si="230"/>
        <v>563871</v>
      </c>
      <c r="E6357" t="s">
        <v>6621</v>
      </c>
      <c r="F6357" t="s">
        <v>16</v>
      </c>
    </row>
    <row r="6358" spans="1:6" x14ac:dyDescent="0.25">
      <c r="A6358" t="str">
        <f>"71171428"</f>
        <v>71171428</v>
      </c>
      <c r="B6358" t="s">
        <v>6671</v>
      </c>
      <c r="C6358" t="s">
        <v>15</v>
      </c>
      <c r="D6358" t="str">
        <f t="shared" si="230"/>
        <v>563871</v>
      </c>
      <c r="E6358" t="s">
        <v>6621</v>
      </c>
      <c r="F6358" t="s">
        <v>16</v>
      </c>
    </row>
    <row r="6359" spans="1:6" x14ac:dyDescent="0.25">
      <c r="A6359" t="str">
        <f>"60254955"</f>
        <v>60254955</v>
      </c>
      <c r="B6359" t="s">
        <v>6672</v>
      </c>
      <c r="C6359" t="s">
        <v>15</v>
      </c>
      <c r="D6359" t="str">
        <f t="shared" si="230"/>
        <v>563871</v>
      </c>
      <c r="E6359" t="s">
        <v>6621</v>
      </c>
      <c r="F6359" t="s">
        <v>16</v>
      </c>
    </row>
    <row r="6360" spans="1:6" x14ac:dyDescent="0.25">
      <c r="A6360" t="str">
        <f>"64668011"</f>
        <v>64668011</v>
      </c>
      <c r="B6360" t="s">
        <v>6673</v>
      </c>
      <c r="C6360" t="s">
        <v>15</v>
      </c>
      <c r="D6360" t="str">
        <f t="shared" si="230"/>
        <v>563871</v>
      </c>
      <c r="E6360" t="s">
        <v>6621</v>
      </c>
      <c r="F6360" t="s">
        <v>16</v>
      </c>
    </row>
    <row r="6361" spans="1:6" x14ac:dyDescent="0.25">
      <c r="A6361" t="str">
        <f>"64668291"</f>
        <v>64668291</v>
      </c>
      <c r="B6361" t="s">
        <v>6674</v>
      </c>
      <c r="C6361" t="s">
        <v>15</v>
      </c>
      <c r="D6361" t="str">
        <f t="shared" si="230"/>
        <v>563871</v>
      </c>
      <c r="E6361" t="s">
        <v>6621</v>
      </c>
      <c r="F6361" t="s">
        <v>16</v>
      </c>
    </row>
    <row r="6362" spans="1:6" x14ac:dyDescent="0.25">
      <c r="A6362" t="str">
        <f>"43257739"</f>
        <v>43257739</v>
      </c>
      <c r="B6362" t="s">
        <v>6675</v>
      </c>
      <c r="C6362" t="s">
        <v>15</v>
      </c>
      <c r="D6362" t="str">
        <f t="shared" si="230"/>
        <v>563871</v>
      </c>
      <c r="E6362" t="s">
        <v>6621</v>
      </c>
      <c r="F6362" t="s">
        <v>16</v>
      </c>
    </row>
    <row r="6363" spans="1:6" x14ac:dyDescent="0.25">
      <c r="A6363" t="str">
        <f>"01721658"</f>
        <v>01721658</v>
      </c>
      <c r="B6363" t="s">
        <v>6676</v>
      </c>
      <c r="C6363" t="s">
        <v>7</v>
      </c>
      <c r="D6363" t="str">
        <f t="shared" si="230"/>
        <v>563871</v>
      </c>
      <c r="E6363" t="s">
        <v>6621</v>
      </c>
      <c r="F6363" t="s">
        <v>11</v>
      </c>
    </row>
    <row r="6364" spans="1:6" x14ac:dyDescent="0.25">
      <c r="A6364" t="str">
        <f>"43257755"</f>
        <v>43257755</v>
      </c>
      <c r="B6364" t="s">
        <v>6677</v>
      </c>
      <c r="C6364" t="s">
        <v>15</v>
      </c>
      <c r="D6364" t="str">
        <f t="shared" si="230"/>
        <v>563871</v>
      </c>
      <c r="E6364" t="s">
        <v>6621</v>
      </c>
      <c r="F6364" t="s">
        <v>9</v>
      </c>
    </row>
    <row r="6365" spans="1:6" x14ac:dyDescent="0.25">
      <c r="A6365" t="str">
        <f>"62939246"</f>
        <v>62939246</v>
      </c>
      <c r="B6365" t="s">
        <v>6678</v>
      </c>
      <c r="C6365" t="s">
        <v>7</v>
      </c>
      <c r="D6365" t="str">
        <f t="shared" si="230"/>
        <v>563871</v>
      </c>
      <c r="E6365" t="s">
        <v>6621</v>
      </c>
      <c r="F6365" t="s">
        <v>11</v>
      </c>
    </row>
    <row r="6366" spans="1:6" x14ac:dyDescent="0.25">
      <c r="A6366" t="str">
        <f>"03287157"</f>
        <v>03287157</v>
      </c>
      <c r="B6366" t="s">
        <v>6679</v>
      </c>
      <c r="C6366" t="s">
        <v>7</v>
      </c>
      <c r="D6366" t="str">
        <f t="shared" si="230"/>
        <v>563871</v>
      </c>
      <c r="E6366" t="s">
        <v>6621</v>
      </c>
      <c r="F6366" t="s">
        <v>13</v>
      </c>
    </row>
    <row r="6367" spans="1:6" x14ac:dyDescent="0.25">
      <c r="A6367" t="str">
        <f>"09572457"</f>
        <v>09572457</v>
      </c>
      <c r="B6367" t="s">
        <v>6680</v>
      </c>
      <c r="C6367" t="s">
        <v>7</v>
      </c>
      <c r="D6367" t="str">
        <f t="shared" si="230"/>
        <v>563871</v>
      </c>
      <c r="E6367" t="s">
        <v>6621</v>
      </c>
      <c r="F6367" t="s">
        <v>13</v>
      </c>
    </row>
    <row r="6368" spans="1:6" x14ac:dyDescent="0.25">
      <c r="A6368" t="str">
        <f>"26999102"</f>
        <v>26999102</v>
      </c>
      <c r="B6368" t="s">
        <v>6681</v>
      </c>
      <c r="C6368" t="s">
        <v>7</v>
      </c>
      <c r="D6368" t="str">
        <f t="shared" si="230"/>
        <v>563871</v>
      </c>
      <c r="E6368" t="s">
        <v>6621</v>
      </c>
      <c r="F6368" t="s">
        <v>11</v>
      </c>
    </row>
    <row r="6369" spans="1:6" x14ac:dyDescent="0.25">
      <c r="A6369" t="str">
        <f>"26608022"</f>
        <v>26608022</v>
      </c>
      <c r="B6369" t="s">
        <v>6682</v>
      </c>
      <c r="C6369" t="s">
        <v>7</v>
      </c>
      <c r="D6369" t="str">
        <f t="shared" si="230"/>
        <v>563871</v>
      </c>
      <c r="E6369" t="s">
        <v>6621</v>
      </c>
      <c r="F6369" t="s">
        <v>11</v>
      </c>
    </row>
    <row r="6370" spans="1:6" x14ac:dyDescent="0.25">
      <c r="A6370" t="str">
        <f>"26598361"</f>
        <v>26598361</v>
      </c>
      <c r="B6370" t="s">
        <v>6683</v>
      </c>
      <c r="C6370" t="s">
        <v>7</v>
      </c>
      <c r="D6370" t="str">
        <f t="shared" si="230"/>
        <v>563871</v>
      </c>
      <c r="E6370" t="s">
        <v>6621</v>
      </c>
      <c r="F6370" t="s">
        <v>9</v>
      </c>
    </row>
    <row r="6371" spans="1:6" x14ac:dyDescent="0.25">
      <c r="A6371" t="str">
        <f>"44224893"</f>
        <v>44224893</v>
      </c>
      <c r="B6371" t="s">
        <v>6684</v>
      </c>
      <c r="C6371" t="s">
        <v>7</v>
      </c>
      <c r="D6371" t="str">
        <f t="shared" si="230"/>
        <v>563871</v>
      </c>
      <c r="E6371" t="s">
        <v>6621</v>
      </c>
      <c r="F6371" t="s">
        <v>9</v>
      </c>
    </row>
    <row r="6372" spans="1:6" x14ac:dyDescent="0.25">
      <c r="A6372" t="str">
        <f>"27036936"</f>
        <v>27036936</v>
      </c>
      <c r="B6372" t="s">
        <v>6685</v>
      </c>
      <c r="C6372" t="s">
        <v>7</v>
      </c>
      <c r="D6372" t="str">
        <f t="shared" ref="D6372:D6388" si="231">"563871"</f>
        <v>563871</v>
      </c>
      <c r="E6372" t="s">
        <v>6621</v>
      </c>
      <c r="F6372" t="s">
        <v>9</v>
      </c>
    </row>
    <row r="6373" spans="1:6" x14ac:dyDescent="0.25">
      <c r="A6373" t="str">
        <f>"03641228"</f>
        <v>03641228</v>
      </c>
      <c r="B6373" t="s">
        <v>6686</v>
      </c>
      <c r="C6373" t="s">
        <v>7</v>
      </c>
      <c r="D6373" t="str">
        <f t="shared" si="231"/>
        <v>563871</v>
      </c>
      <c r="E6373" t="s">
        <v>6621</v>
      </c>
      <c r="F6373" t="s">
        <v>11</v>
      </c>
    </row>
    <row r="6374" spans="1:6" x14ac:dyDescent="0.25">
      <c r="A6374" t="str">
        <f>"70902178"</f>
        <v>70902178</v>
      </c>
      <c r="B6374" t="s">
        <v>6687</v>
      </c>
      <c r="C6374" t="s">
        <v>15</v>
      </c>
      <c r="D6374" t="str">
        <f t="shared" si="231"/>
        <v>563871</v>
      </c>
      <c r="E6374" t="s">
        <v>6621</v>
      </c>
      <c r="F6374" t="s">
        <v>65</v>
      </c>
    </row>
    <row r="6375" spans="1:6" x14ac:dyDescent="0.25">
      <c r="A6375" t="str">
        <f>"16389310"</f>
        <v>16389310</v>
      </c>
      <c r="B6375" t="s">
        <v>6688</v>
      </c>
      <c r="C6375" t="s">
        <v>7</v>
      </c>
      <c r="D6375" t="str">
        <f t="shared" si="231"/>
        <v>563871</v>
      </c>
      <c r="E6375" t="s">
        <v>6621</v>
      </c>
      <c r="F6375" t="s">
        <v>9</v>
      </c>
    </row>
    <row r="6376" spans="1:6" x14ac:dyDescent="0.25">
      <c r="A6376" t="str">
        <f>"71162534"</f>
        <v>71162534</v>
      </c>
      <c r="B6376" t="s">
        <v>6689</v>
      </c>
      <c r="C6376" t="s">
        <v>15</v>
      </c>
      <c r="D6376" t="str">
        <f t="shared" si="231"/>
        <v>563871</v>
      </c>
      <c r="E6376" t="s">
        <v>6621</v>
      </c>
      <c r="F6376" t="s">
        <v>9</v>
      </c>
    </row>
    <row r="6377" spans="1:6" x14ac:dyDescent="0.25">
      <c r="A6377" t="str">
        <f>"01877216"</f>
        <v>01877216</v>
      </c>
      <c r="B6377" t="s">
        <v>6690</v>
      </c>
      <c r="C6377" t="s">
        <v>15</v>
      </c>
      <c r="D6377" t="str">
        <f t="shared" si="231"/>
        <v>563871</v>
      </c>
      <c r="E6377" t="s">
        <v>6621</v>
      </c>
      <c r="F6377" t="s">
        <v>9</v>
      </c>
    </row>
    <row r="6378" spans="1:6" x14ac:dyDescent="0.25">
      <c r="A6378" t="str">
        <f>"70956031"</f>
        <v>70956031</v>
      </c>
      <c r="B6378" t="s">
        <v>6691</v>
      </c>
      <c r="C6378" t="s">
        <v>15</v>
      </c>
      <c r="D6378" t="str">
        <f t="shared" si="231"/>
        <v>563871</v>
      </c>
      <c r="E6378" t="s">
        <v>6621</v>
      </c>
      <c r="F6378" t="s">
        <v>9</v>
      </c>
    </row>
    <row r="6379" spans="1:6" x14ac:dyDescent="0.25">
      <c r="A6379" t="str">
        <f>"16388933"</f>
        <v>16388933</v>
      </c>
      <c r="B6379" t="s">
        <v>6692</v>
      </c>
      <c r="C6379" t="s">
        <v>7</v>
      </c>
      <c r="D6379" t="str">
        <f t="shared" si="231"/>
        <v>563871</v>
      </c>
      <c r="E6379" t="s">
        <v>6621</v>
      </c>
      <c r="F6379" t="s">
        <v>9</v>
      </c>
    </row>
    <row r="6380" spans="1:6" x14ac:dyDescent="0.25">
      <c r="A6380" t="str">
        <f>"16389441"</f>
        <v>16389441</v>
      </c>
      <c r="B6380" t="s">
        <v>6693</v>
      </c>
      <c r="C6380" t="s">
        <v>7</v>
      </c>
      <c r="D6380" t="str">
        <f t="shared" si="231"/>
        <v>563871</v>
      </c>
      <c r="E6380" t="s">
        <v>6621</v>
      </c>
      <c r="F6380" t="s">
        <v>9</v>
      </c>
    </row>
    <row r="6381" spans="1:6" x14ac:dyDescent="0.25">
      <c r="A6381" t="str">
        <f>"44225245"</f>
        <v>44225245</v>
      </c>
      <c r="B6381" t="s">
        <v>6694</v>
      </c>
      <c r="C6381" t="s">
        <v>7</v>
      </c>
      <c r="D6381" t="str">
        <f t="shared" si="231"/>
        <v>563871</v>
      </c>
      <c r="E6381" t="s">
        <v>6621</v>
      </c>
      <c r="F6381" t="s">
        <v>9</v>
      </c>
    </row>
    <row r="6382" spans="1:6" x14ac:dyDescent="0.25">
      <c r="A6382" t="str">
        <f>"16389191"</f>
        <v>16389191</v>
      </c>
      <c r="B6382" t="s">
        <v>6695</v>
      </c>
      <c r="C6382" t="s">
        <v>7</v>
      </c>
      <c r="D6382" t="str">
        <f t="shared" si="231"/>
        <v>563871</v>
      </c>
      <c r="E6382" t="s">
        <v>6621</v>
      </c>
      <c r="F6382" t="s">
        <v>9</v>
      </c>
    </row>
    <row r="6383" spans="1:6" x14ac:dyDescent="0.25">
      <c r="A6383" t="str">
        <f>"03658635"</f>
        <v>03658635</v>
      </c>
      <c r="B6383" t="s">
        <v>6696</v>
      </c>
      <c r="C6383" t="s">
        <v>7</v>
      </c>
      <c r="D6383" t="str">
        <f t="shared" si="231"/>
        <v>563871</v>
      </c>
      <c r="E6383" t="s">
        <v>6621</v>
      </c>
      <c r="F6383" t="s">
        <v>11</v>
      </c>
    </row>
    <row r="6384" spans="1:6" x14ac:dyDescent="0.25">
      <c r="A6384" t="str">
        <f>"02830515"</f>
        <v>02830515</v>
      </c>
      <c r="B6384" t="s">
        <v>6697</v>
      </c>
      <c r="C6384" t="s">
        <v>7</v>
      </c>
      <c r="D6384" t="str">
        <f t="shared" si="231"/>
        <v>563871</v>
      </c>
      <c r="E6384" t="s">
        <v>6621</v>
      </c>
      <c r="F6384" t="s">
        <v>21</v>
      </c>
    </row>
    <row r="6385" spans="1:6" x14ac:dyDescent="0.25">
      <c r="A6385" t="str">
        <f>"75078708"</f>
        <v>75078708</v>
      </c>
      <c r="B6385" t="s">
        <v>6698</v>
      </c>
      <c r="C6385" t="s">
        <v>15</v>
      </c>
      <c r="D6385" t="str">
        <f t="shared" si="231"/>
        <v>563871</v>
      </c>
      <c r="E6385" t="s">
        <v>6621</v>
      </c>
      <c r="F6385" t="s">
        <v>29</v>
      </c>
    </row>
    <row r="6386" spans="1:6" x14ac:dyDescent="0.25">
      <c r="A6386" t="str">
        <f>"05203091"</f>
        <v>05203091</v>
      </c>
      <c r="B6386" t="s">
        <v>6699</v>
      </c>
      <c r="C6386" t="s">
        <v>15</v>
      </c>
      <c r="D6386" t="str">
        <f t="shared" si="231"/>
        <v>563871</v>
      </c>
      <c r="E6386" t="s">
        <v>6621</v>
      </c>
      <c r="F6386" t="s">
        <v>29</v>
      </c>
    </row>
    <row r="6387" spans="1:6" x14ac:dyDescent="0.25">
      <c r="A6387" t="str">
        <f>"60253681"</f>
        <v>60253681</v>
      </c>
      <c r="B6387" t="s">
        <v>6700</v>
      </c>
      <c r="C6387" t="s">
        <v>15</v>
      </c>
      <c r="D6387" t="str">
        <f t="shared" si="231"/>
        <v>563871</v>
      </c>
      <c r="E6387" t="s">
        <v>6621</v>
      </c>
      <c r="F6387" t="s">
        <v>29</v>
      </c>
    </row>
    <row r="6388" spans="1:6" x14ac:dyDescent="0.25">
      <c r="A6388" t="str">
        <f>"10959874"</f>
        <v>10959874</v>
      </c>
      <c r="B6388" t="s">
        <v>6701</v>
      </c>
      <c r="C6388" t="s">
        <v>7</v>
      </c>
      <c r="D6388" t="str">
        <f t="shared" si="231"/>
        <v>563871</v>
      </c>
      <c r="E6388" t="s">
        <v>6621</v>
      </c>
      <c r="F6388" t="s">
        <v>11</v>
      </c>
    </row>
    <row r="6389" spans="1:6" x14ac:dyDescent="0.25">
      <c r="A6389" t="str">
        <f>"71162437"</f>
        <v>71162437</v>
      </c>
      <c r="B6389" t="s">
        <v>6702</v>
      </c>
      <c r="C6389" t="s">
        <v>37</v>
      </c>
      <c r="D6389" t="str">
        <f>"577723"</f>
        <v>577723</v>
      </c>
      <c r="E6389" t="s">
        <v>6703</v>
      </c>
      <c r="F6389" t="s">
        <v>38</v>
      </c>
    </row>
    <row r="6390" spans="1:6" x14ac:dyDescent="0.25">
      <c r="A6390" t="str">
        <f>"45598487"</f>
        <v>45598487</v>
      </c>
      <c r="B6390" t="s">
        <v>6704</v>
      </c>
      <c r="C6390" t="s">
        <v>7</v>
      </c>
      <c r="D6390" t="str">
        <f>"577723"</f>
        <v>577723</v>
      </c>
      <c r="E6390" t="s">
        <v>6703</v>
      </c>
      <c r="F6390" t="s">
        <v>38</v>
      </c>
    </row>
    <row r="6391" spans="1:6" x14ac:dyDescent="0.25">
      <c r="A6391" t="str">
        <f>"09293884"</f>
        <v>09293884</v>
      </c>
      <c r="B6391" t="s">
        <v>6705</v>
      </c>
      <c r="C6391" t="s">
        <v>7</v>
      </c>
      <c r="D6391" t="str">
        <f>"577723"</f>
        <v>577723</v>
      </c>
      <c r="E6391" t="s">
        <v>6703</v>
      </c>
      <c r="F6391" t="s">
        <v>18</v>
      </c>
    </row>
    <row r="6392" spans="1:6" x14ac:dyDescent="0.25">
      <c r="A6392" t="str">
        <f>"46745491"</f>
        <v>46745491</v>
      </c>
      <c r="B6392" t="s">
        <v>6706</v>
      </c>
      <c r="C6392" t="s">
        <v>37</v>
      </c>
      <c r="D6392" t="str">
        <f t="shared" ref="D6392:D6397" si="232">"544604"</f>
        <v>544604</v>
      </c>
      <c r="E6392" t="s">
        <v>6707</v>
      </c>
      <c r="F6392" t="s">
        <v>38</v>
      </c>
    </row>
    <row r="6393" spans="1:6" x14ac:dyDescent="0.25">
      <c r="A6393" t="str">
        <f>"71167242"</f>
        <v>71167242</v>
      </c>
      <c r="B6393" t="s">
        <v>6708</v>
      </c>
      <c r="C6393" t="s">
        <v>37</v>
      </c>
      <c r="D6393" t="str">
        <f t="shared" si="232"/>
        <v>544604</v>
      </c>
      <c r="E6393" t="s">
        <v>6707</v>
      </c>
      <c r="F6393" t="s">
        <v>38</v>
      </c>
    </row>
    <row r="6394" spans="1:6" x14ac:dyDescent="0.25">
      <c r="A6394" t="str">
        <f>"17329370"</f>
        <v>17329370</v>
      </c>
      <c r="B6394" t="s">
        <v>6709</v>
      </c>
      <c r="C6394" t="s">
        <v>15</v>
      </c>
      <c r="D6394" t="str">
        <f t="shared" si="232"/>
        <v>544604</v>
      </c>
      <c r="E6394" t="s">
        <v>6707</v>
      </c>
      <c r="F6394" t="s">
        <v>9</v>
      </c>
    </row>
    <row r="6395" spans="1:6" x14ac:dyDescent="0.25">
      <c r="A6395" t="str">
        <f>"49112180"</f>
        <v>49112180</v>
      </c>
      <c r="B6395" t="s">
        <v>6710</v>
      </c>
      <c r="C6395" t="s">
        <v>15</v>
      </c>
      <c r="D6395" t="str">
        <f t="shared" si="232"/>
        <v>544604</v>
      </c>
      <c r="E6395" t="s">
        <v>6707</v>
      </c>
      <c r="F6395" t="s">
        <v>16</v>
      </c>
    </row>
    <row r="6396" spans="1:6" x14ac:dyDescent="0.25">
      <c r="A6396" t="str">
        <f>"26608189"</f>
        <v>26608189</v>
      </c>
      <c r="B6396" t="s">
        <v>6711</v>
      </c>
      <c r="C6396" t="s">
        <v>7</v>
      </c>
      <c r="D6396" t="str">
        <f t="shared" si="232"/>
        <v>544604</v>
      </c>
      <c r="E6396" t="s">
        <v>6707</v>
      </c>
      <c r="F6396" t="s">
        <v>9</v>
      </c>
    </row>
    <row r="6397" spans="1:6" x14ac:dyDescent="0.25">
      <c r="A6397" t="str">
        <f>"46749632"</f>
        <v>46749632</v>
      </c>
      <c r="B6397" t="s">
        <v>6712</v>
      </c>
      <c r="C6397" t="s">
        <v>15</v>
      </c>
      <c r="D6397" t="str">
        <f t="shared" si="232"/>
        <v>544604</v>
      </c>
      <c r="E6397" t="s">
        <v>6707</v>
      </c>
      <c r="F6397" t="s">
        <v>9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res_export_2025-05-19-142316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Koděrová Pavlína</dc:creator>
  <cp:lastModifiedBy>Koděrová Pavlína</cp:lastModifiedBy>
  <dcterms:created xsi:type="dcterms:W3CDTF">2025-05-19T12:37:04Z</dcterms:created>
  <dcterms:modified xsi:type="dcterms:W3CDTF">2025-05-19T12:37:05Z</dcterms:modified>
</cp:coreProperties>
</file>